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9200" windowHeight="11640" tabRatio="656" activeTab="0"/>
  </bookViews>
  <sheets>
    <sheet name="1 lentelė" sheetId="1" r:id="rId1"/>
    <sheet name="bendras lėšų poreikis" sheetId="2" r:id="rId2"/>
    <sheet name="vertinimo kriterijai" sheetId="3" r:id="rId3"/>
    <sheet name="Aiškinamoji lentelė" sheetId="4" r:id="rId4"/>
  </sheets>
  <definedNames>
    <definedName name="_xlnm.Print_Area" localSheetId="0">'1 lentelė'!$A$1:$V$167</definedName>
    <definedName name="_xlnm.Print_Titles" localSheetId="0">'1 lentelė'!$5:$7</definedName>
  </definedNames>
  <calcPr fullCalcOnLoad="1"/>
</workbook>
</file>

<file path=xl/sharedStrings.xml><?xml version="1.0" encoding="utf-8"?>
<sst xmlns="http://schemas.openxmlformats.org/spreadsheetml/2006/main" count="1132" uniqueCount="296">
  <si>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</si>
  <si>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</si>
  <si>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</si>
  <si>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</si>
  <si>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</si>
  <si>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</si>
  <si>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</si>
  <si>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</si>
  <si>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</si>
  <si>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</si>
  <si>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</si>
  <si>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</si>
  <si>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</si>
  <si>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06</t>
  </si>
  <si>
    <t>07</t>
  </si>
  <si>
    <t>08</t>
  </si>
  <si>
    <t>10</t>
  </si>
  <si>
    <t>12</t>
  </si>
  <si>
    <t>ES</t>
  </si>
  <si>
    <t>Iš viso uždaviniui:</t>
  </si>
  <si>
    <t>Iš viso:</t>
  </si>
  <si>
    <t>Iš viso tikslui:</t>
  </si>
  <si>
    <t>I</t>
  </si>
  <si>
    <t>Ekonominės klasifikacijos grupės</t>
  </si>
  <si>
    <t>1.2. turtui įsigyti ir finansiniams įsipareigojimams vykdyti</t>
  </si>
  <si>
    <t>KVJUD</t>
  </si>
  <si>
    <t>Joniškės g. rekonstrukcija (I etapas)</t>
  </si>
  <si>
    <t xml:space="preserve">Iš viso programai: </t>
  </si>
  <si>
    <t>Finansavimo šaltiniai</t>
  </si>
  <si>
    <t>Atlikti kasmetinius miesto susisiekimo infrastruktūros objektų priežiūros ir įrengimo darbus</t>
  </si>
  <si>
    <t>Kt</t>
  </si>
  <si>
    <t>06 Susisiekimo sistemos priežiūros ir plėtros programa</t>
  </si>
  <si>
    <t>tūkst. Lt</t>
  </si>
  <si>
    <t>SAVIVALDYBĖS  LĖŠOS, IŠ VISO:</t>
  </si>
  <si>
    <t>KITI ŠALTINIAI, IŠ VISO:</t>
  </si>
  <si>
    <t>IŠ VISO:</t>
  </si>
  <si>
    <t>Finansavimo šaltinių suvestinė</t>
  </si>
  <si>
    <t xml:space="preserve">Didinti gatvių tinklo pralaidumą ir užtikrinti jų tankumą </t>
  </si>
  <si>
    <t>05</t>
  </si>
  <si>
    <t>09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</si>
  <si>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</si>
  <si>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</si>
  <si>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</si>
  <si>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</si>
  <si>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</si>
  <si>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</si>
  <si>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1 lentelės tęsinys</t>
  </si>
  <si>
    <t>Pavadinimas</t>
  </si>
  <si>
    <t xml:space="preserve">Rekonstruoti ir tiesti gatves </t>
  </si>
  <si>
    <t xml:space="preserve">Vystyti Klaipėdos pramoninės plėtros teritorijos susisiekimo infrastruktūrą   </t>
  </si>
  <si>
    <t>Pietinės jungties tarp Klaipėdos valstybinio jūrų uosto ir IX B transporto koridoriaus techninės dokumentacijos parengimas</t>
  </si>
  <si>
    <t xml:space="preserve">  </t>
  </si>
  <si>
    <t>11</t>
  </si>
  <si>
    <t>KPP</t>
  </si>
  <si>
    <t>Miesto autobusų parko atnaujinimas</t>
  </si>
  <si>
    <t>Automatinės eismo priežiūros prietaisų nuoma</t>
  </si>
  <si>
    <t>Toponuotraukų, išpildomųjų geodezinių nuotraukų įsigijimas, projektų ekspertizė, autorinė ir techninė priežiūra</t>
  </si>
  <si>
    <t xml:space="preserve">Programos (Nr. 06) lėšų poreikis ir numatomi finansavimo šaltiniai      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</si>
  <si>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</si>
  <si>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</si>
  <si>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</si>
  <si>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</si>
  <si>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</si>
  <si>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</si>
  <si>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</si>
  <si>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Mato vienetas</t>
  </si>
  <si>
    <t>Rezultato:</t>
  </si>
  <si>
    <t>1-ajam programos tikslui</t>
  </si>
  <si>
    <t>Produkto:</t>
  </si>
  <si>
    <t>1-ajam uždaviniui</t>
  </si>
  <si>
    <t>2-ajam uždaviniui</t>
  </si>
  <si>
    <t>4-ajam uždaviniui</t>
  </si>
  <si>
    <t>KURTI MIESTE PATRAUKLIĄ, ŠVARIĄ IR SAUGIĄ GYVENAMĄJĄ APLINKĄ</t>
  </si>
  <si>
    <t>KLAIPĖDOS MIESTO SAVIVALDYBĖS SUSISIEKIMO SISTEMOS PRIEŽIŪROS IR PLĖTROS PROGRAMA</t>
  </si>
  <si>
    <t>R-06-01-01</t>
  </si>
  <si>
    <t>R-06-01-02</t>
  </si>
  <si>
    <t>Įgyvendinamas įstaigos strateginio tikslo kodas, programos kodas</t>
  </si>
  <si>
    <t>P-06-01-04-01</t>
  </si>
  <si>
    <t>P-06-01-01-01</t>
  </si>
  <si>
    <t>P-06-01-02-01</t>
  </si>
  <si>
    <t>P-06-01-03-01</t>
  </si>
  <si>
    <t>P-06-01-03-04</t>
  </si>
  <si>
    <t>P-06-01-03-05</t>
  </si>
  <si>
    <t>P-06-01-04-02</t>
  </si>
  <si>
    <t>02.06</t>
  </si>
  <si>
    <t>R-06-01-03</t>
  </si>
  <si>
    <t>P-06-01-01-02</t>
  </si>
  <si>
    <t>P-06-01-01-03</t>
  </si>
  <si>
    <t>1. Rekonstruota ir nutiesta gatvių Klaipėdos LEZ teritorijoje, m</t>
  </si>
  <si>
    <t>P-06-01-04-03</t>
  </si>
  <si>
    <t>P-06-01-04-04</t>
  </si>
  <si>
    <t>P-06-01-04-05</t>
  </si>
  <si>
    <t>P-06-01-04-06</t>
  </si>
  <si>
    <t>P-06-01-04-07</t>
  </si>
  <si>
    <t>P-06-01-04-08</t>
  </si>
  <si>
    <t>P-06-01-04-09</t>
  </si>
  <si>
    <t>6. Suremontuota šaligatvių, tūkst. kv. m</t>
  </si>
  <si>
    <t>9. Įrengta greičio slopinimo kalnelių, m</t>
  </si>
  <si>
    <t>10. Atnaujinta šviesoforų sankryžų, vnt.</t>
  </si>
  <si>
    <t>11. Įrengta informacinių kelio ženklų, vnt.</t>
  </si>
  <si>
    <t>P-06-01-04-10</t>
  </si>
  <si>
    <t>R-06-01-04</t>
  </si>
  <si>
    <t>1.2. Gatvių tankis, km/kv. km</t>
  </si>
  <si>
    <t>Savanorių g. ruožo tiesimas</t>
  </si>
  <si>
    <t>Pamario gatvės rekonstrukcija</t>
  </si>
  <si>
    <t>1. Nutiesta gatvių mieste, m</t>
  </si>
  <si>
    <t>2. Rekonstruota gatvių mieste, m</t>
  </si>
  <si>
    <t>3. Rekonstruota sankryžų, sk.</t>
  </si>
  <si>
    <t>P-06-01-03-02</t>
  </si>
  <si>
    <t>P-06-01-03-06</t>
  </si>
  <si>
    <t>LRVB</t>
  </si>
  <si>
    <r>
      <t xml:space="preserve">2.2.4. Klaipėdos valstybinio jūrų uosto direkcijos lėšos </t>
    </r>
    <r>
      <rPr>
        <b/>
        <sz val="10"/>
        <rFont val="Times New Roman"/>
        <family val="1"/>
      </rPr>
      <t>KVJUD</t>
    </r>
  </si>
  <si>
    <t>3. Patikrinta viešojo transporto priemonių, vnt./mėn.</t>
  </si>
  <si>
    <t>5. Parduota lengvatinių bilietų, tūkst. vnt.</t>
  </si>
  <si>
    <t>6. Išmokėta kompensacijų moksleiviams, tūkst. vnt.</t>
  </si>
  <si>
    <t>Strateginis tikslas 02. Kurti mieste patrauklią, švarią ir saugią gyvenamąją aplinką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</si>
  <si>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</si>
  <si>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1. Įrengta ištisinio asfaltbetonio dangos,  tūkst. kv. m</t>
  </si>
  <si>
    <t>2. Suremontuota asfaltbetonio dangos duobių miesto gatvėse, tūkst. kv. m</t>
  </si>
  <si>
    <t xml:space="preserve">4. Suremontuota gatvių grindinės dangos iš akmenų, tūkst. kv. m </t>
  </si>
  <si>
    <t>8. Suženklinta gatvių termoplastu ir dažais, tūkst. kv. m</t>
  </si>
  <si>
    <t>1.1. Gatvių su asfalto danga ilgis, palyginti su bendru gatvių ilgiu, proc.</t>
  </si>
  <si>
    <t>3-iajam uždaviniui</t>
  </si>
  <si>
    <t>7. Įrengta automobilių stovėjimo vietų</t>
  </si>
  <si>
    <t>P-06-01-04-11</t>
  </si>
  <si>
    <t>Turtui įsigyti ir finansiniams įsipareigojimams vykdyti</t>
  </si>
  <si>
    <t>Iš jų darbo užmokesčiui</t>
  </si>
  <si>
    <t>P-06-01-04-13</t>
  </si>
  <si>
    <t>P-06-01-03-03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</si>
  <si>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</si>
  <si>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Projektas 2013-iesiems metams</t>
  </si>
  <si>
    <t>Vandens kelias E 70: kelias į sėkmingą pasienio bedradarbiavimą (PEARL). Techninių projektų parengimas:</t>
  </si>
  <si>
    <t>2013-ųjų metų planas</t>
  </si>
  <si>
    <t>P2.1.2.11</t>
  </si>
  <si>
    <t>P2.1.3.5.</t>
  </si>
  <si>
    <t>P2.1.2.12</t>
  </si>
  <si>
    <t>P1.2.1.1</t>
  </si>
  <si>
    <t>P3.1.1.2.</t>
  </si>
  <si>
    <t>P2.1.2.1.</t>
  </si>
  <si>
    <t>P2.1.2.7</t>
  </si>
  <si>
    <t>P2.1.2.6</t>
  </si>
  <si>
    <t xml:space="preserve">P2.1.2.6 </t>
  </si>
  <si>
    <t xml:space="preserve">P2.1.2.6. </t>
  </si>
  <si>
    <t>4. Integruotų maršrutų skaičius, vnt.</t>
  </si>
  <si>
    <t>5</t>
  </si>
  <si>
    <t>6</t>
  </si>
  <si>
    <t>Ištisinio asfaltbetonio dangos įrengimas miesto gatvėse, medžiagų tyrimas ir kontroliniai bandymai</t>
  </si>
  <si>
    <t>Tiltų ir kelio statinių priežiūra</t>
  </si>
  <si>
    <t>Asignavimai biudžetiniams 
2011-iesiems metams</t>
  </si>
  <si>
    <t>Tilžės g. nuo Šilutės pl. rekonstrukcija, pertvarkant geležinkelio pervažą bei žiedinę Mokyklos g. ir Šilutės pl. sankryžą</t>
  </si>
  <si>
    <t>3. Prieigų prie Pilies uosto sutvarkymas ir teritorijos atlaisvinimas pramoginių ir mažųjų laivų laikymui žiemos metu (elektros transformatorinės ir nuotekų siurblinės iškėlimas)</t>
  </si>
  <si>
    <t>Automobilių laikymo aikštelės (garažo) statybos Pilies g. 6A projekto parengimas</t>
  </si>
  <si>
    <t>Projekto „Gatvių infrastruktūros sukūrimas Klaipėdos daugiafunkcinio sporto ir pramogų komplekso teritorijoje (Dubysos g. atkarpos nuo Taikos pr. iki Minijos g. rekonstrukcija)“ įgyvendinimas</t>
  </si>
  <si>
    <t>Projekto „Gatvių infrastruktūros sukūrimas Klaipėdos daugiafunkcinio sporto ir pramogų komplekso teritorijoje (Merkio g., I-os aptarnaujančios g. ir II-os aptarnaujančios g. tiesimas)“ įgyvendinimas</t>
  </si>
  <si>
    <t>Asignavimų poreikis biudžetiniams 2012-iesiems metams</t>
  </si>
  <si>
    <t>2012-ųjų metų asignavimų planas</t>
  </si>
  <si>
    <t>P.2.1.3.9.</t>
  </si>
  <si>
    <t>Pėsčiųjų, šaligatvių bei privažiavimo kelių remonto bei įrengimo darbai, automobilių stovėjimo vietų įrengimas</t>
  </si>
  <si>
    <t>Projektas 2014-iesiems metams</t>
  </si>
  <si>
    <t>Centrinės miesto dalies gatvių tinklo modernizavimas:</t>
  </si>
  <si>
    <t>Šiaurinės miesto dalies gatvių tinklo modernizavimas:</t>
  </si>
  <si>
    <t>Pajūrio rekreacinių teritorijų gatvių tinklo modernizavimas:</t>
  </si>
  <si>
    <t>P 2.1.2.4.</t>
  </si>
  <si>
    <t>Tiltų ir viadukų modernizavimas:</t>
  </si>
  <si>
    <t>2013-ųjų metų lėšų projektas</t>
  </si>
  <si>
    <t>2014-ųjų metų lėšų projektas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</si>
  <si>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</si>
  <si>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</si>
  <si>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</si>
  <si>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</si>
  <si>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Kelių priežiūros ir plėtros programos lėšos </t>
    </r>
    <r>
      <rPr>
        <b/>
        <sz val="10"/>
        <rFont val="Times New Roman"/>
        <family val="1"/>
      </rPr>
      <t>KPP</t>
    </r>
  </si>
  <si>
    <r>
      <t xml:space="preserve">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</si>
  <si>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</si>
  <si>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Viešojo transporto paslaugų organizavimas:</t>
  </si>
  <si>
    <t>Studijų atlikimas:</t>
  </si>
  <si>
    <t>Automobilių stovėjimo aikštelių daugiabučių namų kvartaluose partnerystės projekto galimybių studija</t>
  </si>
  <si>
    <t>Regioninė galimybių studija „Vakarų krantas“</t>
  </si>
  <si>
    <t>Lėšų poreikis biudžetiniams 
2012-iesiems metams</t>
  </si>
  <si>
    <t>Mokamo automobilių stovėjimo sistemos išlaikymas</t>
  </si>
  <si>
    <t xml:space="preserve"> Užtikrinti patogios viešojo transporto sistemos funkcionavimą </t>
  </si>
  <si>
    <t>Diegti eismo srautų reguliavimo ir saugumo priemones</t>
  </si>
  <si>
    <t>Eismo reguliavimo priemonių įrengimas, remontas, priežiūra, informacinės kelio ženklų sistemos įrengimas, ekspertizių atlikimas</t>
  </si>
  <si>
    <t>1</t>
  </si>
  <si>
    <t>Klaipėdos miesto visuomeninio transporto sektoriaus tyrimas</t>
  </si>
  <si>
    <t>Pajūrio g. rekonstrukcija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</si>
  <si>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</si>
  <si>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</si>
  <si>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Asfaltbetonio dangos, žvyruotos dangos ir akmenimis grįstų gatvių bei daugiabučių namų kiemų dangos remontas</t>
  </si>
  <si>
    <t>Automobilių stovėjimo aikštelės teritorijoje, esančioje prie pastato Pilies g, 4, įrengimas</t>
  </si>
  <si>
    <r>
      <t xml:space="preserve">2.2.5. Kiti finansavimo šaltiniai </t>
    </r>
    <r>
      <rPr>
        <b/>
        <sz val="10"/>
        <rFont val="Times New Roman"/>
        <family val="1"/>
      </rPr>
      <t>Kt</t>
    </r>
  </si>
  <si>
    <t>2012-ųjų metų planas</t>
  </si>
  <si>
    <t>2014-ųjų metų planas</t>
  </si>
  <si>
    <t xml:space="preserve"> TIKSLŲ, UŽDAVINIŲ, PRIEMONIŲ IR PRIEMONIŲ IŠLAIDŲ SUVESTINĖ</t>
  </si>
  <si>
    <t>Šiaurės pr. - Kretingos g. sankryžos rekonstrukcija</t>
  </si>
  <si>
    <t>2010-ųjų metų faktas</t>
  </si>
  <si>
    <t>1.3. Autobusų, kurių amžius neviršija 15 metų, dalis miesto viešajame transporte, proc.</t>
  </si>
  <si>
    <t xml:space="preserve">2. Įrengta kelio ženklų, draudžiančių važiuoti į senamiesčio kiemus, vnt. </t>
  </si>
  <si>
    <t>12. Eksploatuojamų greičio matavimo prietaisų skaičius, vnt.</t>
  </si>
  <si>
    <t>3. Suremontuota asfaltbetonio dangos daugiabučių namų kiemuose, tūkst. kv. m</t>
  </si>
  <si>
    <r>
      <t xml:space="preserve">1. Eksploatuojamų </t>
    </r>
    <r>
      <rPr>
        <sz val="10"/>
        <rFont val="Times New Roman Baltic"/>
        <family val="0"/>
      </rPr>
      <t xml:space="preserve">bilietų </t>
    </r>
    <r>
      <rPr>
        <sz val="10"/>
        <rFont val="Times New Roman Baltic"/>
        <family val="0"/>
      </rPr>
      <t>automatų</t>
    </r>
    <r>
      <rPr>
        <sz val="10"/>
        <rFont val="Times New Roman Baltic"/>
        <family val="1"/>
      </rPr>
      <t xml:space="preserve"> sk.</t>
    </r>
  </si>
  <si>
    <t>5. Greideriuota žvyruotos dangos, tūkst. kv. m (5 kartus greideriuojama)</t>
  </si>
  <si>
    <t>Šviesoforais reguliuojamos sankryžos iš Butkų Juzės į S.Daukanto g. įrengimas</t>
  </si>
  <si>
    <t xml:space="preserve">J.Janonio g. dangų ir šaligatvių restauravimas;
</t>
  </si>
  <si>
    <t>Naujo įvažiavimo kelio į piliavietę ir Kruizinių laivų terminalą tiesimas;</t>
  </si>
  <si>
    <t>Daržų g. rekonstrukcija;</t>
  </si>
  <si>
    <t xml:space="preserve">Švyturio g. rekonstrukcijos projekto parengimas ir įgyvendinimas; </t>
  </si>
  <si>
    <t>Labrenciškės g. rekonstrukcija;</t>
  </si>
  <si>
    <t xml:space="preserve">Utenos g., Pakruojo g., Radviliškio g. ir Rokiškio g.  rekonstrukcija (pratęsimas iki šiaurinio išvažiavimo kelio); </t>
  </si>
  <si>
    <t>Šiaurės ir Pietų transporto koridorių gatvių tinklo modernizavimas:</t>
  </si>
  <si>
    <t>Smeltės gyvenvietės gatvių rekonstrukcija;</t>
  </si>
  <si>
    <t>Minijos g. ruožo nuo Baltijos pr. iki Jūrininkų pr. rekonstrukcija (su Rūtų g. sankryža);</t>
  </si>
  <si>
    <t>Taikos pr. nuo Sausios 15-osios g. iki Kauno g. rekonstrukcija;</t>
  </si>
  <si>
    <t xml:space="preserve">Taikos pr. II juostos tiesimas nuo Smiltelės g. iki Jūrininkų pr.; </t>
  </si>
  <si>
    <t>Šilutės plento rekonstrukcija 
(I etapas – nuo Tilžės g. iki Kauno g.; II etapas – nuo Kauno g. iki Dubysos g.);</t>
  </si>
  <si>
    <t>Kelio nuo Medelyno g. ties Labrenciškėmis iki Girulių tiesimas</t>
  </si>
  <si>
    <t>Pilies tilto per Danę kaptalinis remontas (projektas ir darbai)</t>
  </si>
  <si>
    <t>1. Bastionų gatvės tiesimo ir tilto statybos;</t>
  </si>
  <si>
    <t>2. Pilies tilto priegų sutvarkymo ir požeminių perėjų rekonstrukcijos;</t>
  </si>
  <si>
    <t>Klaipėdos LEZ susisiekimo sistemos infrastruktūros įrengimas (Švepelių g. rekonstrukcija ir geležinkelio atšakos tiesimas)</t>
  </si>
  <si>
    <t>Viešojo transporto priežiūros ir paslaugų kokybės kontroliavimas;</t>
  </si>
  <si>
    <t>Transporto kompensacijų mokėjimas;</t>
  </si>
  <si>
    <t>Viešojo transporto (autobusų ir maršrutinių taksi) integravimas;</t>
  </si>
  <si>
    <t>Nuostolingų maršrutų subsidijavimas priemiesčio maršrutus aptarnaujantiems vežėjams;</t>
  </si>
  <si>
    <t>INTERREG IVC projekto POSSE įgyvendinimas („žaliosios bangos“ sistemos sukūrimo Klaipėdos mieste galimybių analizė)</t>
  </si>
  <si>
    <t>1.4. Gatvių, kuriomis važinėja viešasis transportas, ilgis, km</t>
  </si>
  <si>
    <t>Tauralaukio gyvenvietės gatvių rekonstrukcija (bei  Tauraulaukio gatvių perpektyvinės schemos parengimas)</t>
  </si>
  <si>
    <t>1 lentelė</t>
  </si>
  <si>
    <r>
      <t xml:space="preserve"> 2011–2014 M. KLAIPĖDOS MIESTO SAVIVALDYBĖS </t>
    </r>
    <r>
      <rPr>
        <b/>
        <u val="single"/>
        <sz val="10"/>
        <rFont val="Times New Roman"/>
        <family val="1"/>
      </rPr>
      <t xml:space="preserve">
</t>
    </r>
    <r>
      <rPr>
        <b/>
        <u val="single"/>
        <sz val="10"/>
        <rFont val="Times New Roman"/>
        <family val="1"/>
      </rPr>
      <t>SUSISIEKIMO SISTEMOS PRIEŽIŪROS IR PLĖTROS PROGRAMOS (NR. 06)</t>
    </r>
  </si>
  <si>
    <r>
      <t xml:space="preserve"> 2010–2013 M. KLAIPĖDOS MIESTO SAVIVALDYBĖS </t>
    </r>
    <r>
      <rPr>
        <b/>
        <u val="single"/>
        <sz val="10"/>
        <rFont val="Times New Roman"/>
        <family val="1"/>
      </rPr>
      <t xml:space="preserve">
SUSISIEKIMO SISTEMOS PRIEŽIŪROS IR PLĖTROS PROGRAMOS (NR. 06)</t>
    </r>
  </si>
  <si>
    <t>TIKSLŲ, UŽDAVINIŲ, PRIEMONIŲ, PRIEMONIŲ IŠLAIDŲ IR PRODUKTŲ VERTINIMO KRITERIJŲ SUVESTINĖ</t>
  </si>
  <si>
    <t>Asignavimų poreikis biudžetiniams 
2012-iesiems metams</t>
  </si>
  <si>
    <t>2013-ųjų metų asignavimų planas</t>
  </si>
  <si>
    <t>2014-ųjų metų asignavimų planas</t>
  </si>
  <si>
    <t>J.Janonio g. dangų ir šaligatvių restauravimas</t>
  </si>
  <si>
    <t>P</t>
  </si>
  <si>
    <t>Naujo įvažiavimo kelio į Piliavietę ir kruizinių laivų terminalą statyba</t>
  </si>
  <si>
    <t>Daržų g. rekonstrukcija</t>
  </si>
  <si>
    <t>P2.1.2.1</t>
  </si>
  <si>
    <t>Šviesoforais reguliuojamos sankryžos iš Butkų Juzės į S.Daukanto g., įrengimas</t>
  </si>
  <si>
    <r>
      <t>Utenos g., Pakruojo g., Radviliškio g.</t>
    </r>
    <r>
      <rPr>
        <b/>
        <sz val="10"/>
        <rFont val="Times New Roman"/>
        <family val="1"/>
      </rPr>
      <t xml:space="preserve"> ir Rokiškio g.  rekonstrukcija (pratęsimas iki Šiaurinio išvažiavimo) </t>
    </r>
  </si>
  <si>
    <t>Švyturio g. rekonstrukcijos projekto parengimas ir įgyvendinimas (I etapas - 500m. Ruožo nauja statyba)</t>
  </si>
  <si>
    <t>Labrenciškės g. rekonstrukcija</t>
  </si>
  <si>
    <t>P2.1.2.3</t>
  </si>
  <si>
    <t>Tauralaukio gyvenvietės gatvių rekonstrukcija</t>
  </si>
  <si>
    <t>Smeltės gyvenvietės gatvių rekonstrukcija</t>
  </si>
  <si>
    <t>Minijos g. atkarpos nuo Baltijos pr. iki Jūrininkų pr. rekonstrukcija (su Rūtų g. sankryža)</t>
  </si>
  <si>
    <t xml:space="preserve">P2.1.2.4. </t>
  </si>
  <si>
    <t>Taikos pr. nuo Sausios 15-osios g. iki Kauno g. rekonstrukcija</t>
  </si>
  <si>
    <t>P2.1.2.4</t>
  </si>
  <si>
    <t xml:space="preserve">Taikos pr. II juostos tiesimas nuo Smiltelės g. iki Jūrininkų pr. </t>
  </si>
  <si>
    <t xml:space="preserve">P2.1.2.4 </t>
  </si>
  <si>
    <t>Šilutės plento rekonstrukcija
(I etapas nuo Tilžės g. iki Kauno g.)
(II etapas nuo Kauno g. iki Dubysos g.)</t>
  </si>
  <si>
    <t>P2.1.2.6.</t>
  </si>
  <si>
    <t>Šiaurės - Pietų transporto koridorių gatvių tinklo modernizavimas:</t>
  </si>
  <si>
    <t>P2.1.2.5</t>
  </si>
  <si>
    <t>Kelio nuo Medelyno g. ties Labrenciškėmis iki Girulių  tiesimas</t>
  </si>
  <si>
    <t>Pilies g. tilto per Danę remonto projektas ir remontas</t>
  </si>
  <si>
    <t xml:space="preserve">1. Bastionų gatvės ir tilto </t>
  </si>
  <si>
    <t xml:space="preserve">2. Pilies tilto ir požeminės perėjos </t>
  </si>
  <si>
    <t>Klaipėdos LEZ susisiekimo sistemos infrastruktūros įrengimas (Švepelių g. rekonstrukcija ir geležinkelio atšakos statyba)</t>
  </si>
  <si>
    <t>Statybininkų pr. tęsinio statyba nuo Šilutės pl. per LEZ teritoriją iki 141 kelio (Klaipėdos LEZ Lypkių g. statyba, I etapas)</t>
  </si>
  <si>
    <t>Viešojo transporto priežiūros ir paslaugų kokybės kontroliavimas</t>
  </si>
  <si>
    <t>Transporto kompensacijų mokėjimas</t>
  </si>
  <si>
    <t>VB</t>
  </si>
  <si>
    <t>Viešojo transporto (autobusų ir maršrutinių taksi) integravimas</t>
  </si>
  <si>
    <t>P2.1.3.9.</t>
  </si>
  <si>
    <t>Nuostolingų maršrutų subsidijavimas priemiesčio maršrutus aptarnaujantiems vežėjams</t>
  </si>
  <si>
    <t>Eismo reguliavimo priemonių įrengimas, remontas, priežiūra, Informacinės kelio ženklų sistemos įrengimas, ekspertizių atlikimas</t>
  </si>
  <si>
    <t>P5</t>
  </si>
  <si>
    <t>Mokamo automobilių stovėjimo sistemos mieste sukūrimas ir išlaikymas</t>
  </si>
  <si>
    <t>Projektas „Regioninė galimybių studija „Vakarų krantas“</t>
  </si>
  <si>
    <t>POSSE - atvirų europinių standartų ir specifikacijų</t>
  </si>
  <si>
    <t>Asfaltbetonio dangos, žvyruotos dangos ir akmenimis grįstų gatvių bei daugiabučių namųkiemų dangos remontas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</si>
  <si>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</si>
  <si>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ir savivaldybės biudžeto tarpusavio atsiskaitymų lėšos </t>
    </r>
    <r>
      <rPr>
        <b/>
        <sz val="10"/>
        <rFont val="Times New Roman"/>
        <family val="1"/>
      </rPr>
      <t>SB(TA)</t>
    </r>
  </si>
  <si>
    <r>
      <t xml:space="preserve">Paskolos lėšos </t>
    </r>
    <r>
      <rPr>
        <b/>
        <sz val="10"/>
        <rFont val="Times New Roman"/>
        <family val="1"/>
      </rPr>
      <t>P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</si>
  <si>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</si>
  <si>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</si>
  <si>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</rPr>
      <t>KPP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</si>
  <si>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</si>
  <si>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r>
      <t xml:space="preserve">Klaipėdos valstybinio jūrų uosto direkcijos lėšos </t>
    </r>
    <r>
      <rPr>
        <b/>
        <sz val="10"/>
        <rFont val="Times New Roman"/>
        <family val="1"/>
      </rPr>
      <t>KVJUD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</si>
  <si>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</si>
  <si>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r>
      <t xml:space="preserve">Funkcinės klasifikacijos kodas </t>
    </r>
    <r>
      <rPr>
        <sz val="9"/>
        <rFont val="Times New Roman"/>
        <family val="1"/>
      </rPr>
      <t xml:space="preserve"> </t>
    </r>
  </si>
  <si>
    <t>2012-ųjų  asignavimų planas</t>
  </si>
  <si>
    <t>Asignavimai 2011-iesiems metams</t>
  </si>
  <si>
    <t>Statybininkų pr. tęsinio tiesimas nuo Šilutės pl. per LEZ teritoriją iki 141 kelio (Klaipėdos LEZ Lypkių g. tiesimas, I etapas)</t>
  </si>
  <si>
    <r>
      <t xml:space="preserve">2.1.1. </t>
    </r>
    <r>
      <rPr>
        <sz val="10"/>
        <rFont val="Times New Roman"/>
        <family val="1"/>
      </rPr>
      <t>savivaldybės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SB</t>
    </r>
  </si>
  <si>
    <r>
      <t xml:space="preserve">2.1.2. paskolos lėšos </t>
    </r>
    <r>
      <rPr>
        <b/>
        <sz val="10"/>
        <rFont val="Times New Roman"/>
        <family val="1"/>
      </rPr>
      <t>SB(P)</t>
    </r>
  </si>
  <si>
    <r>
      <t xml:space="preserve">2.1.3. Savivaldybės privatizavimo fondo lėšos </t>
    </r>
    <r>
      <rPr>
        <b/>
        <sz val="10"/>
        <rFont val="Times New Roman"/>
        <family val="1"/>
      </rPr>
      <t>PF</t>
    </r>
  </si>
  <si>
    <r>
      <t xml:space="preserve">2.2.2. Kelių priežiūros ir plėtros programos lėšos </t>
    </r>
    <r>
      <rPr>
        <b/>
        <sz val="10"/>
        <rFont val="Times New Roman"/>
        <family val="1"/>
      </rPr>
      <t>KPP</t>
    </r>
  </si>
  <si>
    <r>
      <t>2.2.3. V</t>
    </r>
    <r>
      <rPr>
        <sz val="10"/>
        <rFont val="Times New Roman"/>
        <family val="1"/>
      </rPr>
      <t>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</si>
  <si>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13</t>
  </si>
  <si>
    <t>Baltijos pr. ir Minijos g. sankryžos rekonstrukcija. I etapas.</t>
  </si>
  <si>
    <t>P.3.1.1.3.</t>
  </si>
  <si>
    <t>Centrinio Klaipėdos valstybinio jūrų uosto įvado jungties  modernizavimas:</t>
  </si>
  <si>
    <t>Bastionų gatvės su nauju tiltu per Danės upę statyba. I etapas</t>
  </si>
</sst>
</file>

<file path=xl/styles.xml><?xml version="1.0" encoding="utf-8"?>
<styleSheet xmlns="http://schemas.openxmlformats.org/spreadsheetml/2006/main">
  <numFmts count="4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[$-427]yyyy\ &quot;m.&quot;\ mmmm\ d\ &quot;d.&quot;"/>
    <numFmt numFmtId="195" formatCode="&quot;Taip&quot;;&quot;Taip&quot;;&quot;Ne&quot;"/>
    <numFmt numFmtId="196" formatCode="&quot;Teisinga&quot;;&quot;Teisinga&quot;;&quot;Klaidinga&quot;"/>
    <numFmt numFmtId="197" formatCode="[$€-2]\ ###,000_);[Red]\([$€-2]\ ###,000\)"/>
    <numFmt numFmtId="198" formatCode="#,##0.0"/>
    <numFmt numFmtId="199" formatCode="0.0;[Red]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Baltic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8" fillId="16" borderId="4" applyNumberFormat="0" applyAlignment="0" applyProtection="0"/>
    <xf numFmtId="0" fontId="40" fillId="7" borderId="5" applyNumberFormat="0" applyAlignment="0" applyProtection="0"/>
    <xf numFmtId="0" fontId="41" fillId="17" borderId="0" applyNumberFormat="0" applyBorder="0" applyAlignment="0" applyProtection="0"/>
    <xf numFmtId="0" fontId="15" fillId="0" borderId="0">
      <alignment/>
      <protection/>
    </xf>
    <xf numFmtId="0" fontId="8" fillId="0" borderId="0">
      <alignment/>
      <protection/>
    </xf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16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381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9" fontId="5" fillId="8" borderId="10" xfId="0" applyNumberFormat="1" applyFont="1" applyFill="1" applyBorder="1" applyAlignment="1">
      <alignment horizontal="left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12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49" fontId="5" fillId="8" borderId="14" xfId="0" applyNumberFormat="1" applyFont="1" applyFill="1" applyBorder="1" applyAlignment="1">
      <alignment horizontal="center" vertical="top"/>
    </xf>
    <xf numFmtId="49" fontId="5" fillId="4" borderId="15" xfId="0" applyNumberFormat="1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left" vertical="top" wrapText="1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188" fontId="11" fillId="0" borderId="0" xfId="0" applyNumberFormat="1" applyFont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8" fontId="1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5" fillId="4" borderId="17" xfId="0" applyNumberFormat="1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top" wrapText="1" indent="2"/>
    </xf>
    <xf numFmtId="49" fontId="5" fillId="8" borderId="14" xfId="0" applyNumberFormat="1" applyFont="1" applyFill="1" applyBorder="1" applyAlignment="1">
      <alignment vertical="top"/>
    </xf>
    <xf numFmtId="49" fontId="5" fillId="8" borderId="1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4" fillId="0" borderId="0" xfId="51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51" applyFont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7" fillId="0" borderId="0" xfId="51" applyFont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51" applyNumberFormat="1" applyFont="1" applyAlignment="1" applyProtection="1">
      <alignment horizontal="center" vertical="top"/>
      <protection/>
    </xf>
    <xf numFmtId="0" fontId="19" fillId="0" borderId="0" xfId="51" applyFont="1">
      <alignment/>
      <protection/>
    </xf>
    <xf numFmtId="0" fontId="19" fillId="0" borderId="23" xfId="51" applyFont="1" applyBorder="1" applyAlignment="1">
      <alignment horizontal="left" vertical="top" wrapText="1"/>
      <protection/>
    </xf>
    <xf numFmtId="0" fontId="20" fillId="0" borderId="23" xfId="51" applyFont="1" applyBorder="1" applyAlignment="1">
      <alignment horizontal="center" vertical="top"/>
      <protection/>
    </xf>
    <xf numFmtId="49" fontId="20" fillId="0" borderId="17" xfId="51" applyNumberFormat="1" applyFont="1" applyBorder="1" applyAlignment="1">
      <alignment horizontal="left"/>
      <protection/>
    </xf>
    <xf numFmtId="0" fontId="21" fillId="0" borderId="17" xfId="51" applyFont="1" applyBorder="1" applyAlignment="1">
      <alignment horizontal="left" vertical="top" wrapText="1"/>
      <protection/>
    </xf>
    <xf numFmtId="0" fontId="20" fillId="0" borderId="17" xfId="51" applyFont="1" applyBorder="1" applyAlignment="1">
      <alignment horizontal="center" vertical="top"/>
      <protection/>
    </xf>
    <xf numFmtId="0" fontId="20" fillId="0" borderId="17" xfId="51" applyFont="1" applyBorder="1" applyAlignment="1">
      <alignment horizontal="left"/>
      <protection/>
    </xf>
    <xf numFmtId="0" fontId="20" fillId="0" borderId="17" xfId="51" applyFont="1" applyBorder="1" applyAlignment="1">
      <alignment horizontal="left" vertical="top" wrapText="1"/>
      <protection/>
    </xf>
    <xf numFmtId="0" fontId="20" fillId="0" borderId="17" xfId="51" applyFont="1" applyBorder="1" applyAlignment="1">
      <alignment horizontal="center"/>
      <protection/>
    </xf>
    <xf numFmtId="0" fontId="22" fillId="0" borderId="17" xfId="51" applyFont="1" applyBorder="1" applyAlignment="1">
      <alignment horizontal="left" vertical="top" wrapText="1"/>
      <protection/>
    </xf>
    <xf numFmtId="0" fontId="20" fillId="0" borderId="17" xfId="51" applyFont="1" applyBorder="1" applyAlignment="1">
      <alignment horizontal="left" vertical="top" wrapText="1"/>
      <protection/>
    </xf>
    <xf numFmtId="0" fontId="23" fillId="0" borderId="0" xfId="51" applyFont="1" applyBorder="1" applyAlignment="1">
      <alignment horizontal="left" vertical="center" wrapText="1"/>
      <protection/>
    </xf>
    <xf numFmtId="0" fontId="20" fillId="0" borderId="17" xfId="51" applyFont="1" applyBorder="1" applyAlignment="1">
      <alignment horizontal="left" vertical="center" wrapText="1"/>
      <protection/>
    </xf>
    <xf numFmtId="0" fontId="20" fillId="0" borderId="17" xfId="51" applyFont="1" applyBorder="1" applyAlignment="1">
      <alignment horizontal="center" vertical="center"/>
      <protection/>
    </xf>
    <xf numFmtId="0" fontId="20" fillId="0" borderId="17" xfId="51" applyFont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51" applyFont="1" applyAlignment="1">
      <alignment horizontal="center"/>
      <protection/>
    </xf>
    <xf numFmtId="0" fontId="7" fillId="0" borderId="0" xfId="0" applyFont="1" applyBorder="1" applyAlignment="1">
      <alignment horizontal="center" vertical="top" wrapText="1"/>
    </xf>
    <xf numFmtId="49" fontId="20" fillId="0" borderId="23" xfId="51" applyNumberFormat="1" applyFont="1" applyBorder="1" applyAlignment="1">
      <alignment horizontal="center"/>
      <protection/>
    </xf>
    <xf numFmtId="0" fontId="20" fillId="0" borderId="24" xfId="51" applyFont="1" applyBorder="1" applyAlignment="1">
      <alignment horizontal="center"/>
      <protection/>
    </xf>
    <xf numFmtId="0" fontId="23" fillId="0" borderId="17" xfId="51" applyFont="1" applyBorder="1" applyAlignment="1">
      <alignment horizontal="left" vertical="center" wrapText="1"/>
      <protection/>
    </xf>
    <xf numFmtId="0" fontId="20" fillId="0" borderId="24" xfId="51" applyFont="1" applyBorder="1" applyAlignment="1">
      <alignment horizontal="center" vertical="top"/>
      <protection/>
    </xf>
    <xf numFmtId="0" fontId="4" fillId="0" borderId="17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0" fillId="0" borderId="24" xfId="51" applyFont="1" applyFill="1" applyBorder="1" applyAlignment="1">
      <alignment horizontal="center" vertical="top"/>
      <protection/>
    </xf>
    <xf numFmtId="0" fontId="1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20" fillId="0" borderId="25" xfId="51" applyFont="1" applyBorder="1" applyAlignment="1">
      <alignment horizontal="left" vertical="top" wrapText="1"/>
      <protection/>
    </xf>
    <xf numFmtId="0" fontId="20" fillId="0" borderId="17" xfId="51" applyFont="1" applyFill="1" applyBorder="1" applyAlignment="1">
      <alignment horizontal="center" vertical="top"/>
      <protection/>
    </xf>
    <xf numFmtId="0" fontId="20" fillId="0" borderId="24" xfId="51" applyFont="1" applyFill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top"/>
    </xf>
    <xf numFmtId="0" fontId="8" fillId="0" borderId="27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188" fontId="1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4" fillId="0" borderId="17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9" fontId="5" fillId="8" borderId="30" xfId="0" applyNumberFormat="1" applyFont="1" applyFill="1" applyBorder="1" applyAlignment="1">
      <alignment horizontal="center" vertical="top"/>
    </xf>
    <xf numFmtId="188" fontId="0" fillId="0" borderId="0" xfId="0" applyNumberFormat="1" applyFont="1" applyAlignment="1">
      <alignment/>
    </xf>
    <xf numFmtId="188" fontId="8" fillId="0" borderId="0" xfId="0" applyNumberFormat="1" applyFont="1" applyBorder="1" applyAlignment="1">
      <alignment horizontal="center" vertical="top" wrapText="1"/>
    </xf>
    <xf numFmtId="49" fontId="5" fillId="4" borderId="26" xfId="0" applyNumberFormat="1" applyFont="1" applyFill="1" applyBorder="1" applyAlignment="1">
      <alignment horizontal="center" vertical="top"/>
    </xf>
    <xf numFmtId="0" fontId="20" fillId="0" borderId="17" xfId="51" applyFont="1" applyFill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31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horizontal="center" vertical="center"/>
      <protection/>
    </xf>
    <xf numFmtId="0" fontId="23" fillId="0" borderId="17" xfId="51" applyFont="1" applyBorder="1" applyAlignment="1">
      <alignment horizontal="center" vertical="top"/>
      <protection/>
    </xf>
    <xf numFmtId="0" fontId="20" fillId="0" borderId="0" xfId="5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20" fillId="0" borderId="25" xfId="51" applyFont="1" applyFill="1" applyBorder="1" applyAlignment="1">
      <alignment vertical="center"/>
      <protection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8" fillId="0" borderId="28" xfId="0" applyFont="1" applyFill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5" fillId="4" borderId="34" xfId="0" applyFont="1" applyFill="1" applyBorder="1" applyAlignment="1">
      <alignment horizontal="left" vertical="top" wrapText="1"/>
    </xf>
    <xf numFmtId="188" fontId="4" fillId="0" borderId="35" xfId="0" applyNumberFormat="1" applyFont="1" applyFill="1" applyBorder="1" applyAlignment="1">
      <alignment horizontal="right" vertical="top"/>
    </xf>
    <xf numFmtId="188" fontId="4" fillId="0" borderId="36" xfId="0" applyNumberFormat="1" applyFont="1" applyFill="1" applyBorder="1" applyAlignment="1">
      <alignment horizontal="right" vertical="top"/>
    </xf>
    <xf numFmtId="188" fontId="4" fillId="0" borderId="37" xfId="0" applyNumberFormat="1" applyFont="1" applyFill="1" applyBorder="1" applyAlignment="1">
      <alignment horizontal="right" vertical="top"/>
    </xf>
    <xf numFmtId="188" fontId="4" fillId="0" borderId="36" xfId="0" applyNumberFormat="1" applyFont="1" applyBorder="1" applyAlignment="1">
      <alignment horizontal="right" vertical="top"/>
    </xf>
    <xf numFmtId="188" fontId="4" fillId="0" borderId="38" xfId="0" applyNumberFormat="1" applyFont="1" applyFill="1" applyBorder="1" applyAlignment="1">
      <alignment horizontal="right" vertical="top"/>
    </xf>
    <xf numFmtId="188" fontId="4" fillId="0" borderId="39" xfId="0" applyNumberFormat="1" applyFont="1" applyBorder="1" applyAlignment="1">
      <alignment horizontal="right" vertical="top"/>
    </xf>
    <xf numFmtId="188" fontId="4" fillId="0" borderId="40" xfId="0" applyNumberFormat="1" applyFont="1" applyFill="1" applyBorder="1" applyAlignment="1">
      <alignment horizontal="right" vertical="top"/>
    </xf>
    <xf numFmtId="188" fontId="4" fillId="0" borderId="19" xfId="0" applyNumberFormat="1" applyFont="1" applyFill="1" applyBorder="1" applyAlignment="1">
      <alignment horizontal="right" vertical="top"/>
    </xf>
    <xf numFmtId="188" fontId="4" fillId="0" borderId="41" xfId="0" applyNumberFormat="1" applyFont="1" applyFill="1" applyBorder="1" applyAlignment="1">
      <alignment horizontal="right" vertical="top"/>
    </xf>
    <xf numFmtId="188" fontId="4" fillId="0" borderId="20" xfId="0" applyNumberFormat="1" applyFont="1" applyFill="1" applyBorder="1" applyAlignment="1">
      <alignment horizontal="right" vertical="top"/>
    </xf>
    <xf numFmtId="188" fontId="4" fillId="0" borderId="42" xfId="0" applyNumberFormat="1" applyFont="1" applyBorder="1" applyAlignment="1">
      <alignment horizontal="right" vertical="top"/>
    </xf>
    <xf numFmtId="188" fontId="4" fillId="0" borderId="43" xfId="0" applyNumberFormat="1" applyFont="1" applyFill="1" applyBorder="1" applyAlignment="1">
      <alignment horizontal="right" vertical="top"/>
    </xf>
    <xf numFmtId="188" fontId="4" fillId="0" borderId="44" xfId="0" applyNumberFormat="1" applyFont="1" applyFill="1" applyBorder="1" applyAlignment="1">
      <alignment horizontal="right" vertical="top"/>
    </xf>
    <xf numFmtId="188" fontId="4" fillId="0" borderId="45" xfId="0" applyNumberFormat="1" applyFont="1" applyFill="1" applyBorder="1" applyAlignment="1">
      <alignment horizontal="right" vertical="top"/>
    </xf>
    <xf numFmtId="188" fontId="4" fillId="0" borderId="46" xfId="0" applyNumberFormat="1" applyFont="1" applyBorder="1" applyAlignment="1">
      <alignment horizontal="right" vertical="top"/>
    </xf>
    <xf numFmtId="188" fontId="4" fillId="0" borderId="24" xfId="0" applyNumberFormat="1" applyFont="1" applyFill="1" applyBorder="1" applyAlignment="1">
      <alignment horizontal="right" vertical="top"/>
    </xf>
    <xf numFmtId="188" fontId="4" fillId="0" borderId="47" xfId="0" applyNumberFormat="1" applyFont="1" applyFill="1" applyBorder="1" applyAlignment="1">
      <alignment horizontal="right" vertical="top"/>
    </xf>
    <xf numFmtId="188" fontId="4" fillId="0" borderId="24" xfId="0" applyNumberFormat="1" applyFont="1" applyBorder="1" applyAlignment="1">
      <alignment horizontal="right" vertical="top"/>
    </xf>
    <xf numFmtId="188" fontId="4" fillId="0" borderId="48" xfId="0" applyNumberFormat="1" applyFont="1" applyFill="1" applyBorder="1" applyAlignment="1">
      <alignment horizontal="right" vertical="top"/>
    </xf>
    <xf numFmtId="188" fontId="4" fillId="0" borderId="49" xfId="0" applyNumberFormat="1" applyFont="1" applyBorder="1" applyAlignment="1">
      <alignment horizontal="right" vertical="top"/>
    </xf>
    <xf numFmtId="188" fontId="4" fillId="0" borderId="19" xfId="0" applyNumberFormat="1" applyFont="1" applyBorder="1" applyAlignment="1">
      <alignment horizontal="right" vertical="top"/>
    </xf>
    <xf numFmtId="188" fontId="4" fillId="0" borderId="50" xfId="0" applyNumberFormat="1" applyFont="1" applyFill="1" applyBorder="1" applyAlignment="1">
      <alignment horizontal="right" vertical="top"/>
    </xf>
    <xf numFmtId="188" fontId="4" fillId="0" borderId="23" xfId="0" applyNumberFormat="1" applyFont="1" applyFill="1" applyBorder="1" applyAlignment="1">
      <alignment horizontal="right" vertical="top"/>
    </xf>
    <xf numFmtId="188" fontId="4" fillId="0" borderId="23" xfId="0" applyNumberFormat="1" applyFont="1" applyBorder="1" applyAlignment="1">
      <alignment horizontal="right" vertical="top"/>
    </xf>
    <xf numFmtId="188" fontId="4" fillId="0" borderId="10" xfId="0" applyNumberFormat="1" applyFont="1" applyFill="1" applyBorder="1" applyAlignment="1">
      <alignment horizontal="right" vertical="top"/>
    </xf>
    <xf numFmtId="188" fontId="4" fillId="0" borderId="20" xfId="0" applyNumberFormat="1" applyFont="1" applyBorder="1" applyAlignment="1">
      <alignment horizontal="right" vertical="top"/>
    </xf>
    <xf numFmtId="188" fontId="4" fillId="0" borderId="42" xfId="0" applyNumberFormat="1" applyFont="1" applyFill="1" applyBorder="1" applyAlignment="1">
      <alignment horizontal="right" vertical="top"/>
    </xf>
    <xf numFmtId="188" fontId="4" fillId="0" borderId="17" xfId="0" applyNumberFormat="1" applyFont="1" applyFill="1" applyBorder="1" applyAlignment="1">
      <alignment horizontal="right" vertical="top"/>
    </xf>
    <xf numFmtId="188" fontId="4" fillId="0" borderId="51" xfId="0" applyNumberFormat="1" applyFont="1" applyFill="1" applyBorder="1" applyAlignment="1">
      <alignment horizontal="right" vertical="top"/>
    </xf>
    <xf numFmtId="188" fontId="4" fillId="0" borderId="31" xfId="0" applyNumberFormat="1" applyFont="1" applyFill="1" applyBorder="1" applyAlignment="1">
      <alignment horizontal="right" vertical="top"/>
    </xf>
    <xf numFmtId="188" fontId="4" fillId="0" borderId="52" xfId="0" applyNumberFormat="1" applyFont="1" applyBorder="1" applyAlignment="1">
      <alignment horizontal="right" vertical="top"/>
    </xf>
    <xf numFmtId="188" fontId="4" fillId="0" borderId="53" xfId="0" applyNumberFormat="1" applyFont="1" applyFill="1" applyBorder="1" applyAlignment="1">
      <alignment horizontal="right" vertical="top"/>
    </xf>
    <xf numFmtId="188" fontId="4" fillId="0" borderId="0" xfId="0" applyNumberFormat="1" applyFont="1" applyFill="1" applyBorder="1" applyAlignment="1">
      <alignment horizontal="right" vertical="top"/>
    </xf>
    <xf numFmtId="188" fontId="5" fillId="0" borderId="36" xfId="0" applyNumberFormat="1" applyFont="1" applyFill="1" applyBorder="1" applyAlignment="1">
      <alignment horizontal="right" vertical="top"/>
    </xf>
    <xf numFmtId="188" fontId="5" fillId="0" borderId="37" xfId="0" applyNumberFormat="1" applyFont="1" applyFill="1" applyBorder="1" applyAlignment="1">
      <alignment horizontal="right" vertical="top"/>
    </xf>
    <xf numFmtId="188" fontId="4" fillId="0" borderId="54" xfId="0" applyNumberFormat="1" applyFont="1" applyFill="1" applyBorder="1" applyAlignment="1">
      <alignment horizontal="right" vertical="top"/>
    </xf>
    <xf numFmtId="188" fontId="4" fillId="0" borderId="39" xfId="0" applyNumberFormat="1" applyFont="1" applyFill="1" applyBorder="1" applyAlignment="1">
      <alignment horizontal="right" vertical="top" wrapText="1"/>
    </xf>
    <xf numFmtId="188" fontId="4" fillId="0" borderId="25" xfId="0" applyNumberFormat="1" applyFont="1" applyFill="1" applyBorder="1" applyAlignment="1">
      <alignment horizontal="right" vertical="top"/>
    </xf>
    <xf numFmtId="188" fontId="4" fillId="0" borderId="52" xfId="0" applyNumberFormat="1" applyFont="1" applyFill="1" applyBorder="1" applyAlignment="1">
      <alignment horizontal="right" vertical="top" wrapText="1"/>
    </xf>
    <xf numFmtId="188" fontId="4" fillId="0" borderId="22" xfId="0" applyNumberFormat="1" applyFont="1" applyFill="1" applyBorder="1" applyAlignment="1">
      <alignment horizontal="right" vertical="top"/>
    </xf>
    <xf numFmtId="188" fontId="4" fillId="0" borderId="42" xfId="0" applyNumberFormat="1" applyFont="1" applyFill="1" applyBorder="1" applyAlignment="1">
      <alignment horizontal="right" vertical="top" wrapText="1"/>
    </xf>
    <xf numFmtId="188" fontId="4" fillId="0" borderId="28" xfId="0" applyNumberFormat="1" applyFont="1" applyFill="1" applyBorder="1" applyAlignment="1">
      <alignment horizontal="right" vertical="top"/>
    </xf>
    <xf numFmtId="188" fontId="5" fillId="0" borderId="42" xfId="0" applyNumberFormat="1" applyFont="1" applyFill="1" applyBorder="1" applyAlignment="1">
      <alignment horizontal="right" vertical="top"/>
    </xf>
    <xf numFmtId="188" fontId="4" fillId="0" borderId="36" xfId="0" applyNumberFormat="1" applyFont="1" applyFill="1" applyBorder="1" applyAlignment="1">
      <alignment horizontal="right" vertical="top"/>
    </xf>
    <xf numFmtId="188" fontId="4" fillId="0" borderId="37" xfId="0" applyNumberFormat="1" applyFont="1" applyFill="1" applyBorder="1" applyAlignment="1">
      <alignment horizontal="right" vertical="top"/>
    </xf>
    <xf numFmtId="188" fontId="5" fillId="4" borderId="14" xfId="0" applyNumberFormat="1" applyFont="1" applyFill="1" applyBorder="1" applyAlignment="1">
      <alignment horizontal="right" vertical="center"/>
    </xf>
    <xf numFmtId="188" fontId="4" fillId="0" borderId="35" xfId="0" applyNumberFormat="1" applyFont="1" applyFill="1" applyBorder="1" applyAlignment="1">
      <alignment horizontal="right" vertical="top"/>
    </xf>
    <xf numFmtId="188" fontId="4" fillId="0" borderId="36" xfId="0" applyNumberFormat="1" applyFont="1" applyBorder="1" applyAlignment="1">
      <alignment horizontal="right" vertical="top"/>
    </xf>
    <xf numFmtId="188" fontId="4" fillId="0" borderId="37" xfId="0" applyNumberFormat="1" applyFont="1" applyBorder="1" applyAlignment="1">
      <alignment horizontal="right" vertical="top"/>
    </xf>
    <xf numFmtId="188" fontId="4" fillId="0" borderId="32" xfId="0" applyNumberFormat="1" applyFont="1" applyFill="1" applyBorder="1" applyAlignment="1">
      <alignment horizontal="right" vertical="top" wrapText="1"/>
    </xf>
    <xf numFmtId="188" fontId="4" fillId="0" borderId="39" xfId="0" applyNumberFormat="1" applyFont="1" applyFill="1" applyBorder="1" applyAlignment="1">
      <alignment horizontal="right" vertical="top" wrapText="1"/>
    </xf>
    <xf numFmtId="188" fontId="4" fillId="0" borderId="40" xfId="0" applyNumberFormat="1" applyFont="1" applyFill="1" applyBorder="1" applyAlignment="1">
      <alignment horizontal="right" vertical="top"/>
    </xf>
    <xf numFmtId="188" fontId="4" fillId="0" borderId="17" xfId="0" applyNumberFormat="1" applyFont="1" applyFill="1" applyBorder="1" applyAlignment="1">
      <alignment horizontal="right" vertical="top"/>
    </xf>
    <xf numFmtId="188" fontId="4" fillId="0" borderId="51" xfId="0" applyNumberFormat="1" applyFont="1" applyFill="1" applyBorder="1" applyAlignment="1">
      <alignment horizontal="right" vertical="top"/>
    </xf>
    <xf numFmtId="188" fontId="4" fillId="0" borderId="52" xfId="0" applyNumberFormat="1" applyFont="1" applyFill="1" applyBorder="1" applyAlignment="1">
      <alignment horizontal="right" vertical="top" wrapText="1"/>
    </xf>
    <xf numFmtId="188" fontId="4" fillId="0" borderId="55" xfId="0" applyNumberFormat="1" applyFont="1" applyFill="1" applyBorder="1" applyAlignment="1">
      <alignment horizontal="right" vertical="top"/>
    </xf>
    <xf numFmtId="188" fontId="4" fillId="0" borderId="56" xfId="0" applyNumberFormat="1" applyFont="1" applyFill="1" applyBorder="1" applyAlignment="1">
      <alignment horizontal="right" vertical="top"/>
    </xf>
    <xf numFmtId="188" fontId="4" fillId="0" borderId="57" xfId="0" applyNumberFormat="1" applyFont="1" applyFill="1" applyBorder="1" applyAlignment="1">
      <alignment horizontal="right" vertical="top"/>
    </xf>
    <xf numFmtId="188" fontId="4" fillId="0" borderId="58" xfId="0" applyNumberFormat="1" applyFont="1" applyFill="1" applyBorder="1" applyAlignment="1">
      <alignment horizontal="right" vertical="top"/>
    </xf>
    <xf numFmtId="188" fontId="4" fillId="0" borderId="10" xfId="0" applyNumberFormat="1" applyFont="1" applyFill="1" applyBorder="1" applyAlignment="1">
      <alignment horizontal="right" vertical="top"/>
    </xf>
    <xf numFmtId="188" fontId="4" fillId="0" borderId="24" xfId="0" applyNumberFormat="1" applyFont="1" applyFill="1" applyBorder="1" applyAlignment="1">
      <alignment horizontal="right" vertical="top"/>
    </xf>
    <xf numFmtId="188" fontId="4" fillId="0" borderId="47" xfId="0" applyNumberFormat="1" applyFont="1" applyFill="1" applyBorder="1" applyAlignment="1">
      <alignment horizontal="right" vertical="top"/>
    </xf>
    <xf numFmtId="188" fontId="4" fillId="0" borderId="59" xfId="0" applyNumberFormat="1" applyFont="1" applyFill="1" applyBorder="1" applyAlignment="1">
      <alignment horizontal="right" vertical="top"/>
    </xf>
    <xf numFmtId="188" fontId="4" fillId="0" borderId="27" xfId="0" applyNumberFormat="1" applyFont="1" applyFill="1" applyBorder="1" applyAlignment="1">
      <alignment horizontal="right" vertical="top" wrapText="1"/>
    </xf>
    <xf numFmtId="188" fontId="4" fillId="0" borderId="49" xfId="0" applyNumberFormat="1" applyFont="1" applyFill="1" applyBorder="1" applyAlignment="1">
      <alignment horizontal="right" vertical="top"/>
    </xf>
    <xf numFmtId="188" fontId="4" fillId="0" borderId="54" xfId="0" applyNumberFormat="1" applyFont="1" applyFill="1" applyBorder="1" applyAlignment="1">
      <alignment horizontal="right" vertical="top"/>
    </xf>
    <xf numFmtId="188" fontId="4" fillId="0" borderId="25" xfId="0" applyNumberFormat="1" applyFont="1" applyFill="1" applyBorder="1" applyAlignment="1">
      <alignment horizontal="right" vertical="top"/>
    </xf>
    <xf numFmtId="188" fontId="4" fillId="0" borderId="42" xfId="0" applyNumberFormat="1" applyFont="1" applyFill="1" applyBorder="1" applyAlignment="1">
      <alignment horizontal="right" vertical="top" wrapText="1"/>
    </xf>
    <xf numFmtId="188" fontId="4" fillId="0" borderId="22" xfId="0" applyNumberFormat="1" applyFont="1" applyFill="1" applyBorder="1" applyAlignment="1">
      <alignment horizontal="right" vertical="top"/>
    </xf>
    <xf numFmtId="188" fontId="5" fillId="0" borderId="36" xfId="0" applyNumberFormat="1" applyFont="1" applyFill="1" applyBorder="1" applyAlignment="1">
      <alignment horizontal="right" vertical="top"/>
    </xf>
    <xf numFmtId="188" fontId="4" fillId="0" borderId="39" xfId="0" applyNumberFormat="1" applyFont="1" applyFill="1" applyBorder="1" applyAlignment="1">
      <alignment horizontal="right" vertical="top"/>
    </xf>
    <xf numFmtId="188" fontId="5" fillId="0" borderId="17" xfId="0" applyNumberFormat="1" applyFont="1" applyFill="1" applyBorder="1" applyAlignment="1">
      <alignment horizontal="right" vertical="top"/>
    </xf>
    <xf numFmtId="188" fontId="4" fillId="0" borderId="52" xfId="0" applyNumberFormat="1" applyFont="1" applyFill="1" applyBorder="1" applyAlignment="1">
      <alignment horizontal="right" vertical="top"/>
    </xf>
    <xf numFmtId="188" fontId="5" fillId="0" borderId="37" xfId="0" applyNumberFormat="1" applyFont="1" applyFill="1" applyBorder="1" applyAlignment="1">
      <alignment horizontal="right" vertical="top"/>
    </xf>
    <xf numFmtId="188" fontId="4" fillId="0" borderId="19" xfId="0" applyNumberFormat="1" applyFont="1" applyBorder="1" applyAlignment="1">
      <alignment horizontal="right" vertical="top"/>
    </xf>
    <xf numFmtId="188" fontId="4" fillId="0" borderId="20" xfId="0" applyNumberFormat="1" applyFont="1" applyBorder="1" applyAlignment="1">
      <alignment horizontal="right" vertical="top"/>
    </xf>
    <xf numFmtId="188" fontId="4" fillId="0" borderId="39" xfId="0" applyNumberFormat="1" applyFont="1" applyBorder="1" applyAlignment="1">
      <alignment horizontal="right" vertical="top"/>
    </xf>
    <xf numFmtId="188" fontId="4" fillId="0" borderId="19" xfId="0" applyNumberFormat="1" applyFont="1" applyFill="1" applyBorder="1" applyAlignment="1">
      <alignment horizontal="right" vertical="top"/>
    </xf>
    <xf numFmtId="188" fontId="4" fillId="0" borderId="41" xfId="0" applyNumberFormat="1" applyFont="1" applyFill="1" applyBorder="1" applyAlignment="1">
      <alignment horizontal="right" vertical="top"/>
    </xf>
    <xf numFmtId="188" fontId="4" fillId="0" borderId="42" xfId="0" applyNumberFormat="1" applyFont="1" applyBorder="1" applyAlignment="1">
      <alignment horizontal="right" vertical="top"/>
    </xf>
    <xf numFmtId="188" fontId="4" fillId="0" borderId="38" xfId="0" applyNumberFormat="1" applyFont="1" applyFill="1" applyBorder="1" applyAlignment="1">
      <alignment horizontal="right" vertical="top"/>
    </xf>
    <xf numFmtId="188" fontId="4" fillId="0" borderId="31" xfId="0" applyNumberFormat="1" applyFont="1" applyFill="1" applyBorder="1" applyAlignment="1">
      <alignment horizontal="right" vertical="top"/>
    </xf>
    <xf numFmtId="188" fontId="4" fillId="0" borderId="32" xfId="0" applyNumberFormat="1" applyFont="1" applyBorder="1" applyAlignment="1">
      <alignment horizontal="right" vertical="top"/>
    </xf>
    <xf numFmtId="188" fontId="4" fillId="0" borderId="27" xfId="0" applyNumberFormat="1" applyFont="1" applyBorder="1" applyAlignment="1">
      <alignment horizontal="right" vertical="top"/>
    </xf>
    <xf numFmtId="188" fontId="4" fillId="0" borderId="49" xfId="0" applyNumberFormat="1" applyFont="1" applyBorder="1" applyAlignment="1">
      <alignment horizontal="right" vertical="top"/>
    </xf>
    <xf numFmtId="188" fontId="4" fillId="0" borderId="24" xfId="0" applyNumberFormat="1" applyFont="1" applyBorder="1" applyAlignment="1">
      <alignment horizontal="right" vertical="top"/>
    </xf>
    <xf numFmtId="188" fontId="4" fillId="0" borderId="47" xfId="0" applyNumberFormat="1" applyFont="1" applyBorder="1" applyAlignment="1">
      <alignment horizontal="right" vertical="top"/>
    </xf>
    <xf numFmtId="188" fontId="4" fillId="24" borderId="60" xfId="0" applyNumberFormat="1" applyFont="1" applyFill="1" applyBorder="1" applyAlignment="1">
      <alignment horizontal="right" vertical="top" wrapText="1"/>
    </xf>
    <xf numFmtId="188" fontId="4" fillId="24" borderId="49" xfId="0" applyNumberFormat="1" applyFont="1" applyFill="1" applyBorder="1" applyAlignment="1">
      <alignment horizontal="right" vertical="top" wrapText="1"/>
    </xf>
    <xf numFmtId="188" fontId="4" fillId="0" borderId="35" xfId="0" applyNumberFormat="1" applyFont="1" applyFill="1" applyBorder="1" applyAlignment="1">
      <alignment horizontal="center" vertical="top"/>
    </xf>
    <xf numFmtId="188" fontId="4" fillId="0" borderId="36" xfId="0" applyNumberFormat="1" applyFont="1" applyFill="1" applyBorder="1" applyAlignment="1">
      <alignment horizontal="center" vertical="top"/>
    </xf>
    <xf numFmtId="188" fontId="4" fillId="0" borderId="37" xfId="0" applyNumberFormat="1" applyFont="1" applyFill="1" applyBorder="1" applyAlignment="1">
      <alignment horizontal="center" vertical="top"/>
    </xf>
    <xf numFmtId="188" fontId="4" fillId="0" borderId="32" xfId="0" applyNumberFormat="1" applyFont="1" applyBorder="1" applyAlignment="1">
      <alignment horizontal="center" vertical="top"/>
    </xf>
    <xf numFmtId="188" fontId="4" fillId="0" borderId="39" xfId="0" applyNumberFormat="1" applyFont="1" applyBorder="1" applyAlignment="1">
      <alignment horizontal="center" vertical="top"/>
    </xf>
    <xf numFmtId="188" fontId="4" fillId="0" borderId="40" xfId="0" applyNumberFormat="1" applyFont="1" applyFill="1" applyBorder="1" applyAlignment="1">
      <alignment horizontal="center" vertical="top"/>
    </xf>
    <xf numFmtId="188" fontId="4" fillId="0" borderId="17" xfId="0" applyNumberFormat="1" applyFont="1" applyFill="1" applyBorder="1" applyAlignment="1">
      <alignment horizontal="center" vertical="top"/>
    </xf>
    <xf numFmtId="188" fontId="4" fillId="0" borderId="51" xfId="0" applyNumberFormat="1" applyFont="1" applyFill="1" applyBorder="1" applyAlignment="1">
      <alignment horizontal="center" vertical="top"/>
    </xf>
    <xf numFmtId="188" fontId="4" fillId="0" borderId="33" xfId="0" applyNumberFormat="1" applyFont="1" applyBorder="1" applyAlignment="1">
      <alignment horizontal="center" vertical="top"/>
    </xf>
    <xf numFmtId="188" fontId="4" fillId="0" borderId="52" xfId="0" applyNumberFormat="1" applyFont="1" applyBorder="1" applyAlignment="1">
      <alignment horizontal="center" vertical="top"/>
    </xf>
    <xf numFmtId="188" fontId="5" fillId="25" borderId="30" xfId="0" applyNumberFormat="1" applyFont="1" applyFill="1" applyBorder="1" applyAlignment="1">
      <alignment horizontal="center" vertical="top"/>
    </xf>
    <xf numFmtId="188" fontId="5" fillId="25" borderId="6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vertical="top" wrapText="1"/>
    </xf>
    <xf numFmtId="49" fontId="6" fillId="0" borderId="62" xfId="0" applyNumberFormat="1" applyFont="1" applyFill="1" applyBorder="1" applyAlignment="1">
      <alignment vertical="top" wrapText="1"/>
    </xf>
    <xf numFmtId="49" fontId="8" fillId="0" borderId="33" xfId="0" applyNumberFormat="1" applyFont="1" applyFill="1" applyBorder="1" applyAlignment="1">
      <alignment vertical="top" wrapText="1"/>
    </xf>
    <xf numFmtId="49" fontId="8" fillId="0" borderId="33" xfId="0" applyNumberFormat="1" applyFont="1" applyFill="1" applyBorder="1" applyAlignment="1">
      <alignment vertical="top" wrapText="1"/>
    </xf>
    <xf numFmtId="49" fontId="6" fillId="0" borderId="63" xfId="0" applyNumberFormat="1" applyFont="1" applyFill="1" applyBorder="1" applyAlignment="1">
      <alignment vertical="top" wrapText="1"/>
    </xf>
    <xf numFmtId="188" fontId="4" fillId="24" borderId="23" xfId="0" applyNumberFormat="1" applyFont="1" applyFill="1" applyBorder="1" applyAlignment="1">
      <alignment horizontal="right" vertical="top"/>
    </xf>
    <xf numFmtId="188" fontId="4" fillId="24" borderId="45" xfId="0" applyNumberFormat="1" applyFont="1" applyFill="1" applyBorder="1" applyAlignment="1">
      <alignment horizontal="right" vertical="top"/>
    </xf>
    <xf numFmtId="188" fontId="4" fillId="24" borderId="19" xfId="0" applyNumberFormat="1" applyFont="1" applyFill="1" applyBorder="1" applyAlignment="1">
      <alignment horizontal="right" vertical="top"/>
    </xf>
    <xf numFmtId="188" fontId="4" fillId="24" borderId="40" xfId="0" applyNumberFormat="1" applyFont="1" applyFill="1" applyBorder="1" applyAlignment="1">
      <alignment horizontal="right" vertical="top"/>
    </xf>
    <xf numFmtId="188" fontId="4" fillId="24" borderId="41" xfId="0" applyNumberFormat="1" applyFont="1" applyFill="1" applyBorder="1" applyAlignment="1">
      <alignment horizontal="right" vertical="top"/>
    </xf>
    <xf numFmtId="188" fontId="4" fillId="24" borderId="36" xfId="0" applyNumberFormat="1" applyFont="1" applyFill="1" applyBorder="1" applyAlignment="1">
      <alignment horizontal="right" vertical="top"/>
    </xf>
    <xf numFmtId="188" fontId="4" fillId="24" borderId="37" xfId="0" applyNumberFormat="1" applyFont="1" applyFill="1" applyBorder="1" applyAlignment="1">
      <alignment horizontal="right" vertical="top"/>
    </xf>
    <xf numFmtId="188" fontId="4" fillId="24" borderId="39" xfId="0" applyNumberFormat="1" applyFont="1" applyFill="1" applyBorder="1" applyAlignment="1">
      <alignment horizontal="right" vertical="top"/>
    </xf>
    <xf numFmtId="188" fontId="4" fillId="24" borderId="42" xfId="0" applyNumberFormat="1" applyFont="1" applyFill="1" applyBorder="1" applyAlignment="1">
      <alignment horizontal="right" vertical="top"/>
    </xf>
    <xf numFmtId="188" fontId="4" fillId="24" borderId="46" xfId="0" applyNumberFormat="1" applyFont="1" applyFill="1" applyBorder="1" applyAlignment="1">
      <alignment horizontal="right" vertical="top"/>
    </xf>
    <xf numFmtId="49" fontId="6" fillId="0" borderId="33" xfId="0" applyNumberFormat="1" applyFont="1" applyFill="1" applyBorder="1" applyAlignment="1">
      <alignment vertical="top" wrapText="1"/>
    </xf>
    <xf numFmtId="0" fontId="8" fillId="24" borderId="39" xfId="0" applyFont="1" applyFill="1" applyBorder="1" applyAlignment="1">
      <alignment horizontal="center" vertical="top" wrapText="1"/>
    </xf>
    <xf numFmtId="0" fontId="8" fillId="24" borderId="42" xfId="0" applyFont="1" applyFill="1" applyBorder="1" applyAlignment="1">
      <alignment horizontal="center" vertical="top" wrapText="1"/>
    </xf>
    <xf numFmtId="0" fontId="8" fillId="24" borderId="46" xfId="0" applyFont="1" applyFill="1" applyBorder="1" applyAlignment="1">
      <alignment horizontal="center" vertical="top" wrapText="1"/>
    </xf>
    <xf numFmtId="188" fontId="4" fillId="24" borderId="52" xfId="0" applyNumberFormat="1" applyFont="1" applyFill="1" applyBorder="1" applyAlignment="1">
      <alignment horizontal="right" vertical="top"/>
    </xf>
    <xf numFmtId="188" fontId="4" fillId="24" borderId="24" xfId="0" applyNumberFormat="1" applyFont="1" applyFill="1" applyBorder="1" applyAlignment="1">
      <alignment horizontal="right" vertical="top"/>
    </xf>
    <xf numFmtId="188" fontId="4" fillId="24" borderId="47" xfId="0" applyNumberFormat="1" applyFont="1" applyFill="1" applyBorder="1" applyAlignment="1">
      <alignment horizontal="right" vertical="top"/>
    </xf>
    <xf numFmtId="188" fontId="4" fillId="24" borderId="49" xfId="0" applyNumberFormat="1" applyFont="1" applyFill="1" applyBorder="1" applyAlignment="1">
      <alignment horizontal="right" vertical="top"/>
    </xf>
    <xf numFmtId="188" fontId="4" fillId="0" borderId="53" xfId="0" applyNumberFormat="1" applyFont="1" applyFill="1" applyBorder="1" applyAlignment="1">
      <alignment vertical="top" wrapText="1"/>
    </xf>
    <xf numFmtId="188" fontId="4" fillId="0" borderId="0" xfId="0" applyNumberFormat="1" applyFont="1" applyFill="1" applyBorder="1" applyAlignment="1">
      <alignment vertical="top" wrapText="1"/>
    </xf>
    <xf numFmtId="188" fontId="5" fillId="0" borderId="53" xfId="0" applyNumberFormat="1" applyFont="1" applyFill="1" applyBorder="1" applyAlignment="1">
      <alignment vertical="top" wrapText="1"/>
    </xf>
    <xf numFmtId="188" fontId="4" fillId="0" borderId="53" xfId="0" applyNumberFormat="1" applyFont="1" applyBorder="1" applyAlignment="1">
      <alignment vertical="top" wrapText="1"/>
    </xf>
    <xf numFmtId="188" fontId="4" fillId="0" borderId="0" xfId="0" applyNumberFormat="1" applyFont="1" applyBorder="1" applyAlignment="1">
      <alignment vertical="top" wrapText="1"/>
    </xf>
    <xf numFmtId="188" fontId="4" fillId="0" borderId="53" xfId="0" applyNumberFormat="1" applyFont="1" applyBorder="1" applyAlignment="1">
      <alignment vertical="top" wrapText="1"/>
    </xf>
    <xf numFmtId="188" fontId="4" fillId="0" borderId="0" xfId="0" applyNumberFormat="1" applyFont="1" applyBorder="1" applyAlignment="1">
      <alignment vertical="top" wrapText="1"/>
    </xf>
    <xf numFmtId="188" fontId="6" fillId="0" borderId="53" xfId="0" applyNumberFormat="1" applyFont="1" applyFill="1" applyBorder="1" applyAlignment="1">
      <alignment vertical="top" wrapText="1"/>
    </xf>
    <xf numFmtId="188" fontId="6" fillId="0" borderId="0" xfId="0" applyNumberFormat="1" applyFont="1" applyFill="1" applyBorder="1" applyAlignment="1">
      <alignment vertical="top" wrapText="1"/>
    </xf>
    <xf numFmtId="188" fontId="8" fillId="0" borderId="49" xfId="0" applyNumberFormat="1" applyFont="1" applyBorder="1" applyAlignment="1">
      <alignment horizontal="right" vertical="top" wrapText="1"/>
    </xf>
    <xf numFmtId="188" fontId="8" fillId="0" borderId="59" xfId="0" applyNumberFormat="1" applyFont="1" applyBorder="1" applyAlignment="1">
      <alignment horizontal="right" vertical="top" wrapText="1"/>
    </xf>
    <xf numFmtId="188" fontId="8" fillId="0" borderId="27" xfId="0" applyNumberFormat="1" applyFont="1" applyBorder="1" applyAlignment="1">
      <alignment horizontal="right" vertical="top" wrapText="1"/>
    </xf>
    <xf numFmtId="188" fontId="8" fillId="0" borderId="64" xfId="0" applyNumberFormat="1" applyFont="1" applyBorder="1" applyAlignment="1">
      <alignment horizontal="right" vertical="top" wrapText="1"/>
    </xf>
    <xf numFmtId="188" fontId="8" fillId="0" borderId="65" xfId="0" applyNumberFormat="1" applyFont="1" applyBorder="1" applyAlignment="1">
      <alignment horizontal="right" vertical="top" wrapText="1"/>
    </xf>
    <xf numFmtId="188" fontId="8" fillId="0" borderId="66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188" fontId="8" fillId="0" borderId="49" xfId="0" applyNumberFormat="1" applyFont="1" applyBorder="1" applyAlignment="1">
      <alignment horizontal="right" vertical="top" wrapText="1"/>
    </xf>
    <xf numFmtId="49" fontId="6" fillId="0" borderId="67" xfId="0" applyNumberFormat="1" applyFont="1" applyFill="1" applyBorder="1" applyAlignment="1">
      <alignment horizontal="left" vertical="top" wrapText="1"/>
    </xf>
    <xf numFmtId="188" fontId="4" fillId="0" borderId="38" xfId="0" applyNumberFormat="1" applyFont="1" applyBorder="1" applyAlignment="1">
      <alignment horizontal="right" vertical="top"/>
    </xf>
    <xf numFmtId="188" fontId="4" fillId="0" borderId="20" xfId="0" applyNumberFormat="1" applyFont="1" applyFill="1" applyBorder="1" applyAlignment="1">
      <alignment horizontal="right" vertical="top"/>
    </xf>
    <xf numFmtId="188" fontId="4" fillId="0" borderId="0" xfId="0" applyNumberFormat="1" applyFont="1" applyFill="1" applyBorder="1" applyAlignment="1">
      <alignment horizontal="right" vertical="top"/>
    </xf>
    <xf numFmtId="0" fontId="8" fillId="0" borderId="33" xfId="0" applyFont="1" applyFill="1" applyBorder="1" applyAlignment="1">
      <alignment vertical="top" wrapText="1"/>
    </xf>
    <xf numFmtId="188" fontId="4" fillId="24" borderId="50" xfId="0" applyNumberFormat="1" applyFont="1" applyFill="1" applyBorder="1" applyAlignment="1">
      <alignment horizontal="right" vertical="top"/>
    </xf>
    <xf numFmtId="188" fontId="4" fillId="24" borderId="22" xfId="0" applyNumberFormat="1" applyFont="1" applyFill="1" applyBorder="1" applyAlignment="1">
      <alignment horizontal="right" vertical="top"/>
    </xf>
    <xf numFmtId="0" fontId="8" fillId="24" borderId="49" xfId="0" applyFont="1" applyFill="1" applyBorder="1" applyAlignment="1">
      <alignment horizontal="center" vertical="top" wrapText="1"/>
    </xf>
    <xf numFmtId="0" fontId="8" fillId="24" borderId="68" xfId="0" applyFont="1" applyFill="1" applyBorder="1" applyAlignment="1">
      <alignment horizontal="center" vertical="top" wrapText="1"/>
    </xf>
    <xf numFmtId="0" fontId="8" fillId="24" borderId="69" xfId="0" applyFont="1" applyFill="1" applyBorder="1" applyAlignment="1">
      <alignment horizontal="center" vertical="top" wrapText="1"/>
    </xf>
    <xf numFmtId="0" fontId="8" fillId="24" borderId="43" xfId="0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right" vertical="top"/>
    </xf>
    <xf numFmtId="188" fontId="4" fillId="0" borderId="63" xfId="0" applyNumberFormat="1" applyFont="1" applyFill="1" applyBorder="1" applyAlignment="1">
      <alignment horizontal="right" vertical="top" wrapText="1"/>
    </xf>
    <xf numFmtId="188" fontId="4" fillId="0" borderId="60" xfId="0" applyNumberFormat="1" applyFont="1" applyFill="1" applyBorder="1" applyAlignment="1">
      <alignment horizontal="right" vertical="top" wrapText="1"/>
    </xf>
    <xf numFmtId="188" fontId="4" fillId="0" borderId="68" xfId="0" applyNumberFormat="1" applyFont="1" applyBorder="1" applyAlignment="1">
      <alignment horizontal="right" vertical="top"/>
    </xf>
    <xf numFmtId="188" fontId="4" fillId="0" borderId="69" xfId="0" applyNumberFormat="1" applyFont="1" applyFill="1" applyBorder="1" applyAlignment="1">
      <alignment horizontal="right" vertical="top"/>
    </xf>
    <xf numFmtId="188" fontId="4" fillId="0" borderId="60" xfId="0" applyNumberFormat="1" applyFont="1" applyFill="1" applyBorder="1" applyAlignment="1">
      <alignment horizontal="right" vertical="top"/>
    </xf>
    <xf numFmtId="0" fontId="6" fillId="0" borderId="62" xfId="0" applyFont="1" applyBorder="1" applyAlignment="1">
      <alignment vertical="top"/>
    </xf>
    <xf numFmtId="0" fontId="6" fillId="0" borderId="33" xfId="52" applyFont="1" applyFill="1" applyBorder="1" applyAlignment="1">
      <alignment vertical="top" wrapText="1"/>
      <protection/>
    </xf>
    <xf numFmtId="0" fontId="8" fillId="0" borderId="42" xfId="0" applyFont="1" applyFill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/>
    </xf>
    <xf numFmtId="0" fontId="8" fillId="0" borderId="49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52" xfId="0" applyFont="1" applyFill="1" applyBorder="1" applyAlignment="1">
      <alignment vertical="top" wrapText="1"/>
    </xf>
    <xf numFmtId="0" fontId="8" fillId="0" borderId="7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/>
    </xf>
    <xf numFmtId="0" fontId="8" fillId="0" borderId="58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188" fontId="6" fillId="0" borderId="0" xfId="0" applyNumberFormat="1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188" fontId="4" fillId="0" borderId="32" xfId="0" applyNumberFormat="1" applyFont="1" applyFill="1" applyBorder="1" applyAlignment="1">
      <alignment horizontal="right" vertical="top"/>
    </xf>
    <xf numFmtId="188" fontId="5" fillId="0" borderId="39" xfId="0" applyNumberFormat="1" applyFont="1" applyFill="1" applyBorder="1" applyAlignment="1">
      <alignment horizontal="right" vertical="top"/>
    </xf>
    <xf numFmtId="188" fontId="8" fillId="0" borderId="49" xfId="0" applyNumberFormat="1" applyFont="1" applyFill="1" applyBorder="1" applyAlignment="1">
      <alignment horizontal="center" vertical="top" wrapText="1"/>
    </xf>
    <xf numFmtId="188" fontId="4" fillId="0" borderId="59" xfId="0" applyNumberFormat="1" applyFont="1" applyFill="1" applyBorder="1" applyAlignment="1">
      <alignment horizontal="right" vertical="top"/>
    </xf>
    <xf numFmtId="188" fontId="4" fillId="0" borderId="33" xfId="0" applyNumberFormat="1" applyFont="1" applyFill="1" applyBorder="1" applyAlignment="1">
      <alignment horizontal="right" vertical="top"/>
    </xf>
    <xf numFmtId="188" fontId="5" fillId="0" borderId="52" xfId="0" applyNumberFormat="1" applyFont="1" applyFill="1" applyBorder="1" applyAlignment="1">
      <alignment horizontal="right" vertical="top"/>
    </xf>
    <xf numFmtId="188" fontId="4" fillId="24" borderId="32" xfId="0" applyNumberFormat="1" applyFont="1" applyFill="1" applyBorder="1" applyAlignment="1">
      <alignment horizontal="right" vertical="top" wrapText="1"/>
    </xf>
    <xf numFmtId="188" fontId="4" fillId="24" borderId="39" xfId="0" applyNumberFormat="1" applyFont="1" applyFill="1" applyBorder="1" applyAlignment="1">
      <alignment horizontal="right" vertical="top" wrapText="1"/>
    </xf>
    <xf numFmtId="188" fontId="4" fillId="0" borderId="48" xfId="0" applyNumberFormat="1" applyFont="1" applyFill="1" applyBorder="1" applyAlignment="1">
      <alignment horizontal="right" vertical="top"/>
    </xf>
    <xf numFmtId="188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 wrapText="1"/>
    </xf>
    <xf numFmtId="188" fontId="5" fillId="0" borderId="0" xfId="0" applyNumberFormat="1" applyFont="1" applyFill="1" applyBorder="1" applyAlignment="1">
      <alignment vertical="top" wrapText="1"/>
    </xf>
    <xf numFmtId="188" fontId="5" fillId="0" borderId="53" xfId="0" applyNumberFormat="1" applyFont="1" applyFill="1" applyBorder="1" applyAlignment="1">
      <alignment vertical="top" wrapText="1"/>
    </xf>
    <xf numFmtId="188" fontId="6" fillId="0" borderId="53" xfId="0" applyNumberFormat="1" applyFont="1" applyFill="1" applyBorder="1" applyAlignment="1">
      <alignment vertical="top" wrapText="1"/>
    </xf>
    <xf numFmtId="188" fontId="6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25" fillId="0" borderId="0" xfId="0" applyFont="1" applyAlignment="1">
      <alignment vertical="top"/>
    </xf>
    <xf numFmtId="188" fontId="0" fillId="0" borderId="0" xfId="0" applyNumberFormat="1" applyFont="1" applyAlignment="1">
      <alignment vertical="top"/>
    </xf>
    <xf numFmtId="188" fontId="5" fillId="25" borderId="71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188" fontId="5" fillId="8" borderId="19" xfId="0" applyNumberFormat="1" applyFont="1" applyFill="1" applyBorder="1" applyAlignment="1">
      <alignment horizontal="center" vertical="top"/>
    </xf>
    <xf numFmtId="188" fontId="5" fillId="25" borderId="26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188" fontId="5" fillId="4" borderId="35" xfId="0" applyNumberFormat="1" applyFont="1" applyFill="1" applyBorder="1" applyAlignment="1">
      <alignment horizontal="center" vertical="top"/>
    </xf>
    <xf numFmtId="188" fontId="5" fillId="4" borderId="36" xfId="0" applyNumberFormat="1" applyFont="1" applyFill="1" applyBorder="1" applyAlignment="1">
      <alignment horizontal="center" vertical="top"/>
    </xf>
    <xf numFmtId="188" fontId="5" fillId="8" borderId="40" xfId="0" applyNumberFormat="1" applyFont="1" applyFill="1" applyBorder="1" applyAlignment="1">
      <alignment horizontal="center" vertical="top"/>
    </xf>
    <xf numFmtId="188" fontId="5" fillId="4" borderId="38" xfId="0" applyNumberFormat="1" applyFont="1" applyFill="1" applyBorder="1" applyAlignment="1">
      <alignment horizontal="center" vertical="top"/>
    </xf>
    <xf numFmtId="188" fontId="5" fillId="8" borderId="20" xfId="0" applyNumberFormat="1" applyFont="1" applyFill="1" applyBorder="1" applyAlignment="1">
      <alignment horizontal="center" vertical="top"/>
    </xf>
    <xf numFmtId="188" fontId="5" fillId="25" borderId="72" xfId="0" applyNumberFormat="1" applyFont="1" applyFill="1" applyBorder="1" applyAlignment="1">
      <alignment horizontal="center" vertical="top"/>
    </xf>
    <xf numFmtId="188" fontId="5" fillId="4" borderId="39" xfId="0" applyNumberFormat="1" applyFont="1" applyFill="1" applyBorder="1" applyAlignment="1">
      <alignment horizontal="center" vertical="top"/>
    </xf>
    <xf numFmtId="188" fontId="5" fillId="8" borderId="42" xfId="0" applyNumberFormat="1" applyFont="1" applyFill="1" applyBorder="1" applyAlignment="1">
      <alignment horizontal="center" vertical="top"/>
    </xf>
    <xf numFmtId="188" fontId="5" fillId="4" borderId="68" xfId="0" applyNumberFormat="1" applyFont="1" applyFill="1" applyBorder="1" applyAlignment="1">
      <alignment horizontal="center" vertical="top"/>
    </xf>
    <xf numFmtId="188" fontId="5" fillId="8" borderId="69" xfId="0" applyNumberFormat="1" applyFont="1" applyFill="1" applyBorder="1" applyAlignment="1">
      <alignment horizontal="center" vertical="top"/>
    </xf>
    <xf numFmtId="188" fontId="4" fillId="0" borderId="38" xfId="0" applyNumberFormat="1" applyFont="1" applyFill="1" applyBorder="1" applyAlignment="1">
      <alignment horizontal="center" vertical="top"/>
    </xf>
    <xf numFmtId="188" fontId="4" fillId="0" borderId="31" xfId="0" applyNumberFormat="1" applyFont="1" applyFill="1" applyBorder="1" applyAlignment="1">
      <alignment horizontal="center" vertical="top"/>
    </xf>
    <xf numFmtId="188" fontId="4" fillId="24" borderId="68" xfId="0" applyNumberFormat="1" applyFont="1" applyFill="1" applyBorder="1" applyAlignment="1">
      <alignment horizontal="right" vertical="top" wrapText="1"/>
    </xf>
    <xf numFmtId="188" fontId="4" fillId="24" borderId="53" xfId="0" applyNumberFormat="1" applyFont="1" applyFill="1" applyBorder="1" applyAlignment="1">
      <alignment horizontal="right" vertical="top" wrapText="1"/>
    </xf>
    <xf numFmtId="188" fontId="4" fillId="24" borderId="52" xfId="0" applyNumberFormat="1" applyFont="1" applyFill="1" applyBorder="1" applyAlignment="1">
      <alignment horizontal="right" vertical="top" wrapText="1"/>
    </xf>
    <xf numFmtId="188" fontId="4" fillId="24" borderId="69" xfId="0" applyNumberFormat="1" applyFont="1" applyFill="1" applyBorder="1" applyAlignment="1">
      <alignment horizontal="right" vertical="top" wrapText="1"/>
    </xf>
    <xf numFmtId="188" fontId="4" fillId="24" borderId="42" xfId="0" applyNumberFormat="1" applyFont="1" applyFill="1" applyBorder="1" applyAlignment="1">
      <alignment horizontal="right" vertical="top" wrapText="1"/>
    </xf>
    <xf numFmtId="188" fontId="5" fillId="4" borderId="73" xfId="0" applyNumberFormat="1" applyFont="1" applyFill="1" applyBorder="1" applyAlignment="1">
      <alignment horizontal="right" vertical="top"/>
    </xf>
    <xf numFmtId="188" fontId="5" fillId="4" borderId="15" xfId="0" applyNumberFormat="1" applyFont="1" applyFill="1" applyBorder="1" applyAlignment="1">
      <alignment horizontal="right" vertical="top"/>
    </xf>
    <xf numFmtId="188" fontId="5" fillId="4" borderId="74" xfId="0" applyNumberFormat="1" applyFont="1" applyFill="1" applyBorder="1" applyAlignment="1">
      <alignment horizontal="right" vertical="top"/>
    </xf>
    <xf numFmtId="188" fontId="5" fillId="4" borderId="75" xfId="0" applyNumberFormat="1" applyFont="1" applyFill="1" applyBorder="1" applyAlignment="1">
      <alignment horizontal="right" vertical="top"/>
    </xf>
    <xf numFmtId="188" fontId="5" fillId="4" borderId="73" xfId="0" applyNumberFormat="1" applyFont="1" applyFill="1" applyBorder="1" applyAlignment="1">
      <alignment horizontal="right" vertical="center"/>
    </xf>
    <xf numFmtId="188" fontId="5" fillId="4" borderId="15" xfId="0" applyNumberFormat="1" applyFont="1" applyFill="1" applyBorder="1" applyAlignment="1">
      <alignment horizontal="right" vertical="center"/>
    </xf>
    <xf numFmtId="188" fontId="5" fillId="4" borderId="74" xfId="0" applyNumberFormat="1" applyFont="1" applyFill="1" applyBorder="1" applyAlignment="1">
      <alignment horizontal="right" vertical="center"/>
    </xf>
    <xf numFmtId="188" fontId="5" fillId="4" borderId="75" xfId="0" applyNumberFormat="1" applyFont="1" applyFill="1" applyBorder="1" applyAlignment="1">
      <alignment horizontal="right" vertical="center"/>
    </xf>
    <xf numFmtId="188" fontId="5" fillId="4" borderId="76" xfId="0" applyNumberFormat="1" applyFont="1" applyFill="1" applyBorder="1" applyAlignment="1">
      <alignment horizontal="right" vertical="center"/>
    </xf>
    <xf numFmtId="0" fontId="22" fillId="0" borderId="17" xfId="51" applyFont="1" applyFill="1" applyBorder="1" applyAlignment="1">
      <alignment horizontal="left" vertical="top" wrapText="1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20" fillId="24" borderId="31" xfId="51" applyFont="1" applyFill="1" applyBorder="1" applyAlignment="1">
      <alignment horizontal="center" vertical="top"/>
      <protection/>
    </xf>
    <xf numFmtId="0" fontId="8" fillId="24" borderId="17" xfId="0" applyFont="1" applyFill="1" applyBorder="1" applyAlignment="1">
      <alignment horizontal="center" vertical="top" wrapText="1"/>
    </xf>
    <xf numFmtId="0" fontId="20" fillId="24" borderId="48" xfId="51" applyFont="1" applyFill="1" applyBorder="1" applyAlignment="1">
      <alignment horizontal="center" vertical="top"/>
      <protection/>
    </xf>
    <xf numFmtId="0" fontId="8" fillId="24" borderId="24" xfId="0" applyFont="1" applyFill="1" applyBorder="1" applyAlignment="1">
      <alignment horizontal="center" vertical="top" wrapText="1"/>
    </xf>
    <xf numFmtId="0" fontId="20" fillId="24" borderId="17" xfId="51" applyFont="1" applyFill="1" applyBorder="1" applyAlignment="1">
      <alignment horizontal="left" vertical="center" wrapText="1"/>
      <protection/>
    </xf>
    <xf numFmtId="188" fontId="4" fillId="0" borderId="70" xfId="0" applyNumberFormat="1" applyFont="1" applyFill="1" applyBorder="1" applyAlignment="1">
      <alignment horizontal="right" vertical="top" wrapText="1"/>
    </xf>
    <xf numFmtId="49" fontId="8" fillId="24" borderId="77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188" fontId="5" fillId="16" borderId="78" xfId="0" applyNumberFormat="1" applyFont="1" applyFill="1" applyBorder="1" applyAlignment="1">
      <alignment horizontal="right" vertical="top"/>
    </xf>
    <xf numFmtId="0" fontId="6" fillId="16" borderId="61" xfId="0" applyFont="1" applyFill="1" applyBorder="1" applyAlignment="1">
      <alignment horizontal="center" vertical="top"/>
    </xf>
    <xf numFmtId="188" fontId="5" fillId="16" borderId="50" xfId="0" applyNumberFormat="1" applyFont="1" applyFill="1" applyBorder="1" applyAlignment="1">
      <alignment horizontal="right" vertical="top"/>
    </xf>
    <xf numFmtId="188" fontId="5" fillId="16" borderId="23" xfId="0" applyNumberFormat="1" applyFont="1" applyFill="1" applyBorder="1" applyAlignment="1">
      <alignment horizontal="right" vertical="top"/>
    </xf>
    <xf numFmtId="188" fontId="5" fillId="16" borderId="45" xfId="0" applyNumberFormat="1" applyFont="1" applyFill="1" applyBorder="1" applyAlignment="1">
      <alignment horizontal="right" vertical="top"/>
    </xf>
    <xf numFmtId="188" fontId="5" fillId="16" borderId="29" xfId="0" applyNumberFormat="1" applyFont="1" applyFill="1" applyBorder="1" applyAlignment="1">
      <alignment horizontal="right" vertical="top"/>
    </xf>
    <xf numFmtId="188" fontId="5" fillId="16" borderId="46" xfId="0" applyNumberFormat="1" applyFont="1" applyFill="1" applyBorder="1" applyAlignment="1">
      <alignment horizontal="right" vertical="top"/>
    </xf>
    <xf numFmtId="0" fontId="6" fillId="16" borderId="79" xfId="0" applyFont="1" applyFill="1" applyBorder="1" applyAlignment="1">
      <alignment horizontal="center" vertical="top"/>
    </xf>
    <xf numFmtId="188" fontId="5" fillId="16" borderId="30" xfId="0" applyNumberFormat="1" applyFont="1" applyFill="1" applyBorder="1" applyAlignment="1">
      <alignment horizontal="right" vertical="top"/>
    </xf>
    <xf numFmtId="188" fontId="5" fillId="16" borderId="80" xfId="0" applyNumberFormat="1" applyFont="1" applyFill="1" applyBorder="1" applyAlignment="1">
      <alignment horizontal="right" vertical="top"/>
    </xf>
    <xf numFmtId="188" fontId="5" fillId="16" borderId="26" xfId="0" applyNumberFormat="1" applyFont="1" applyFill="1" applyBorder="1" applyAlignment="1">
      <alignment horizontal="right" vertical="top"/>
    </xf>
    <xf numFmtId="188" fontId="5" fillId="16" borderId="81" xfId="0" applyNumberFormat="1" applyFont="1" applyFill="1" applyBorder="1" applyAlignment="1">
      <alignment horizontal="right" vertical="top"/>
    </xf>
    <xf numFmtId="188" fontId="5" fillId="16" borderId="79" xfId="0" applyNumberFormat="1" applyFont="1" applyFill="1" applyBorder="1" applyAlignment="1">
      <alignment horizontal="right" vertical="top"/>
    </xf>
    <xf numFmtId="188" fontId="5" fillId="16" borderId="61" xfId="0" applyNumberFormat="1" applyFont="1" applyFill="1" applyBorder="1" applyAlignment="1">
      <alignment horizontal="right" vertical="top"/>
    </xf>
    <xf numFmtId="0" fontId="6" fillId="16" borderId="77" xfId="0" applyFont="1" applyFill="1" applyBorder="1" applyAlignment="1">
      <alignment horizontal="center" vertical="top" wrapText="1"/>
    </xf>
    <xf numFmtId="188" fontId="4" fillId="16" borderId="35" xfId="0" applyNumberFormat="1" applyFont="1" applyFill="1" applyBorder="1" applyAlignment="1">
      <alignment horizontal="right" vertical="top"/>
    </xf>
    <xf numFmtId="188" fontId="4" fillId="16" borderId="36" xfId="0" applyNumberFormat="1" applyFont="1" applyFill="1" applyBorder="1" applyAlignment="1">
      <alignment horizontal="right" vertical="top"/>
    </xf>
    <xf numFmtId="188" fontId="4" fillId="16" borderId="37" xfId="0" applyNumberFormat="1" applyFont="1" applyFill="1" applyBorder="1" applyAlignment="1">
      <alignment horizontal="right" vertical="top"/>
    </xf>
    <xf numFmtId="188" fontId="4" fillId="16" borderId="40" xfId="0" applyNumberFormat="1" applyFont="1" applyFill="1" applyBorder="1" applyAlignment="1">
      <alignment horizontal="right" vertical="top"/>
    </xf>
    <xf numFmtId="188" fontId="4" fillId="16" borderId="24" xfId="0" applyNumberFormat="1" applyFont="1" applyFill="1" applyBorder="1" applyAlignment="1">
      <alignment horizontal="right" vertical="top"/>
    </xf>
    <xf numFmtId="188" fontId="4" fillId="16" borderId="47" xfId="0" applyNumberFormat="1" applyFont="1" applyFill="1" applyBorder="1" applyAlignment="1">
      <alignment horizontal="right" vertical="top"/>
    </xf>
    <xf numFmtId="188" fontId="4" fillId="16" borderId="10" xfId="0" applyNumberFormat="1" applyFont="1" applyFill="1" applyBorder="1" applyAlignment="1">
      <alignment horizontal="right" vertical="top"/>
    </xf>
    <xf numFmtId="188" fontId="4" fillId="16" borderId="38" xfId="0" applyNumberFormat="1" applyFont="1" applyFill="1" applyBorder="1" applyAlignment="1">
      <alignment horizontal="right" vertical="top"/>
    </xf>
    <xf numFmtId="188" fontId="4" fillId="16" borderId="48" xfId="0" applyNumberFormat="1" applyFont="1" applyFill="1" applyBorder="1" applyAlignment="1">
      <alignment horizontal="right" vertical="top"/>
    </xf>
    <xf numFmtId="0" fontId="6" fillId="16" borderId="71" xfId="0" applyFont="1" applyFill="1" applyBorder="1" applyAlignment="1">
      <alignment horizontal="center" vertical="top" wrapText="1"/>
    </xf>
    <xf numFmtId="188" fontId="5" fillId="16" borderId="82" xfId="0" applyNumberFormat="1" applyFont="1" applyFill="1" applyBorder="1" applyAlignment="1">
      <alignment horizontal="right" vertical="top"/>
    </xf>
    <xf numFmtId="188" fontId="5" fillId="16" borderId="71" xfId="0" applyNumberFormat="1" applyFont="1" applyFill="1" applyBorder="1" applyAlignment="1">
      <alignment horizontal="right" vertical="top"/>
    </xf>
    <xf numFmtId="0" fontId="6" fillId="16" borderId="71" xfId="0" applyFont="1" applyFill="1" applyBorder="1" applyAlignment="1">
      <alignment horizontal="center" vertical="top" wrapText="1"/>
    </xf>
    <xf numFmtId="188" fontId="4" fillId="16" borderId="55" xfId="0" applyNumberFormat="1" applyFont="1" applyFill="1" applyBorder="1" applyAlignment="1">
      <alignment horizontal="right" vertical="top"/>
    </xf>
    <xf numFmtId="188" fontId="4" fillId="16" borderId="56" xfId="0" applyNumberFormat="1" applyFont="1" applyFill="1" applyBorder="1" applyAlignment="1">
      <alignment horizontal="right" vertical="top"/>
    </xf>
    <xf numFmtId="188" fontId="4" fillId="16" borderId="57" xfId="0" applyNumberFormat="1" applyFont="1" applyFill="1" applyBorder="1" applyAlignment="1">
      <alignment horizontal="right" vertical="top"/>
    </xf>
    <xf numFmtId="188" fontId="5" fillId="16" borderId="19" xfId="0" applyNumberFormat="1" applyFont="1" applyFill="1" applyBorder="1" applyAlignment="1">
      <alignment horizontal="right" vertical="top"/>
    </xf>
    <xf numFmtId="188" fontId="5" fillId="16" borderId="41" xfId="0" applyNumberFormat="1" applyFont="1" applyFill="1" applyBorder="1" applyAlignment="1">
      <alignment horizontal="right" vertical="top"/>
    </xf>
    <xf numFmtId="188" fontId="4" fillId="16" borderId="19" xfId="0" applyNumberFormat="1" applyFont="1" applyFill="1" applyBorder="1" applyAlignment="1">
      <alignment horizontal="right" vertical="top"/>
    </xf>
    <xf numFmtId="188" fontId="4" fillId="16" borderId="41" xfId="0" applyNumberFormat="1" applyFont="1" applyFill="1" applyBorder="1" applyAlignment="1">
      <alignment horizontal="right" vertical="top"/>
    </xf>
    <xf numFmtId="188" fontId="4" fillId="16" borderId="54" xfId="0" applyNumberFormat="1" applyFont="1" applyFill="1" applyBorder="1" applyAlignment="1">
      <alignment horizontal="right" vertical="top"/>
    </xf>
    <xf numFmtId="188" fontId="4" fillId="16" borderId="25" xfId="0" applyNumberFormat="1" applyFont="1" applyFill="1" applyBorder="1" applyAlignment="1">
      <alignment horizontal="right" vertical="top"/>
    </xf>
    <xf numFmtId="188" fontId="4" fillId="16" borderId="17" xfId="0" applyNumberFormat="1" applyFont="1" applyFill="1" applyBorder="1" applyAlignment="1">
      <alignment horizontal="right" vertical="top"/>
    </xf>
    <xf numFmtId="188" fontId="4" fillId="16" borderId="51" xfId="0" applyNumberFormat="1" applyFont="1" applyFill="1" applyBorder="1" applyAlignment="1">
      <alignment horizontal="right" vertical="top"/>
    </xf>
    <xf numFmtId="188" fontId="4" fillId="16" borderId="22" xfId="0" applyNumberFormat="1" applyFont="1" applyFill="1" applyBorder="1" applyAlignment="1">
      <alignment horizontal="right" vertical="top"/>
    </xf>
    <xf numFmtId="188" fontId="5" fillId="16" borderId="83" xfId="0" applyNumberFormat="1" applyFont="1" applyFill="1" applyBorder="1" applyAlignment="1">
      <alignment horizontal="right" vertical="top"/>
    </xf>
    <xf numFmtId="188" fontId="5" fillId="16" borderId="44" xfId="0" applyNumberFormat="1" applyFont="1" applyFill="1" applyBorder="1" applyAlignment="1">
      <alignment horizontal="right" vertical="top"/>
    </xf>
    <xf numFmtId="0" fontId="6" fillId="16" borderId="79" xfId="0" applyFont="1" applyFill="1" applyBorder="1" applyAlignment="1">
      <alignment horizontal="center" vertical="top" wrapText="1"/>
    </xf>
    <xf numFmtId="188" fontId="5" fillId="16" borderId="50" xfId="0" applyNumberFormat="1" applyFont="1" applyFill="1" applyBorder="1" applyAlignment="1">
      <alignment horizontal="right" vertical="top"/>
    </xf>
    <xf numFmtId="188" fontId="5" fillId="16" borderId="78" xfId="0" applyNumberFormat="1" applyFont="1" applyFill="1" applyBorder="1" applyAlignment="1">
      <alignment horizontal="right" vertical="top"/>
    </xf>
    <xf numFmtId="188" fontId="5" fillId="16" borderId="23" xfId="0" applyNumberFormat="1" applyFont="1" applyFill="1" applyBorder="1" applyAlignment="1">
      <alignment horizontal="right" vertical="top"/>
    </xf>
    <xf numFmtId="188" fontId="5" fillId="16" borderId="45" xfId="0" applyNumberFormat="1" applyFont="1" applyFill="1" applyBorder="1" applyAlignment="1">
      <alignment horizontal="right" vertical="top"/>
    </xf>
    <xf numFmtId="188" fontId="5" fillId="16" borderId="61" xfId="0" applyNumberFormat="1" applyFont="1" applyFill="1" applyBorder="1" applyAlignment="1">
      <alignment horizontal="right" vertical="top"/>
    </xf>
    <xf numFmtId="0" fontId="6" fillId="16" borderId="79" xfId="0" applyFont="1" applyFill="1" applyBorder="1" applyAlignment="1">
      <alignment horizontal="center" vertical="center"/>
    </xf>
    <xf numFmtId="188" fontId="5" fillId="16" borderId="30" xfId="0" applyNumberFormat="1" applyFont="1" applyFill="1" applyBorder="1" applyAlignment="1">
      <alignment horizontal="right" vertical="center"/>
    </xf>
    <xf numFmtId="188" fontId="5" fillId="16" borderId="82" xfId="0" applyNumberFormat="1" applyFont="1" applyFill="1" applyBorder="1" applyAlignment="1">
      <alignment horizontal="right" vertical="center"/>
    </xf>
    <xf numFmtId="188" fontId="5" fillId="16" borderId="81" xfId="0" applyNumberFormat="1" applyFont="1" applyFill="1" applyBorder="1" applyAlignment="1">
      <alignment horizontal="right" vertical="center"/>
    </xf>
    <xf numFmtId="188" fontId="5" fillId="16" borderId="81" xfId="0" applyNumberFormat="1" applyFont="1" applyFill="1" applyBorder="1" applyAlignment="1">
      <alignment horizontal="right" vertical="center" wrapText="1"/>
    </xf>
    <xf numFmtId="188" fontId="4" fillId="16" borderId="61" xfId="0" applyNumberFormat="1" applyFont="1" applyFill="1" applyBorder="1" applyAlignment="1">
      <alignment horizontal="right" vertical="center" wrapText="1"/>
    </xf>
    <xf numFmtId="188" fontId="4" fillId="16" borderId="54" xfId="0" applyNumberFormat="1" applyFont="1" applyFill="1" applyBorder="1" applyAlignment="1">
      <alignment horizontal="right" vertical="top"/>
    </xf>
    <xf numFmtId="188" fontId="4" fillId="16" borderId="36" xfId="0" applyNumberFormat="1" applyFont="1" applyFill="1" applyBorder="1" applyAlignment="1">
      <alignment horizontal="right" vertical="top"/>
    </xf>
    <xf numFmtId="188" fontId="4" fillId="16" borderId="37" xfId="0" applyNumberFormat="1" applyFont="1" applyFill="1" applyBorder="1" applyAlignment="1">
      <alignment horizontal="right" vertical="top"/>
    </xf>
    <xf numFmtId="188" fontId="4" fillId="16" borderId="22" xfId="0" applyNumberFormat="1" applyFont="1" applyFill="1" applyBorder="1" applyAlignment="1">
      <alignment horizontal="right" vertical="top"/>
    </xf>
    <xf numFmtId="188" fontId="4" fillId="16" borderId="19" xfId="0" applyNumberFormat="1" applyFont="1" applyFill="1" applyBorder="1" applyAlignment="1">
      <alignment horizontal="right" vertical="top"/>
    </xf>
    <xf numFmtId="188" fontId="4" fillId="16" borderId="41" xfId="0" applyNumberFormat="1" applyFont="1" applyFill="1" applyBorder="1" applyAlignment="1">
      <alignment horizontal="right" vertical="top"/>
    </xf>
    <xf numFmtId="188" fontId="4" fillId="16" borderId="59" xfId="0" applyNumberFormat="1" applyFont="1" applyFill="1" applyBorder="1" applyAlignment="1">
      <alignment horizontal="right" vertical="top"/>
    </xf>
    <xf numFmtId="188" fontId="4" fillId="16" borderId="17" xfId="0" applyNumberFormat="1" applyFont="1" applyFill="1" applyBorder="1" applyAlignment="1">
      <alignment horizontal="right" vertical="top"/>
    </xf>
    <xf numFmtId="188" fontId="4" fillId="16" borderId="51" xfId="0" applyNumberFormat="1" applyFont="1" applyFill="1" applyBorder="1" applyAlignment="1">
      <alignment horizontal="right" vertical="top"/>
    </xf>
    <xf numFmtId="188" fontId="4" fillId="16" borderId="35" xfId="0" applyNumberFormat="1" applyFont="1" applyFill="1" applyBorder="1" applyAlignment="1">
      <alignment horizontal="right" vertical="top"/>
    </xf>
    <xf numFmtId="188" fontId="5" fillId="16" borderId="19" xfId="0" applyNumberFormat="1" applyFont="1" applyFill="1" applyBorder="1" applyAlignment="1">
      <alignment horizontal="right" vertical="top"/>
    </xf>
    <xf numFmtId="188" fontId="5" fillId="16" borderId="41" xfId="0" applyNumberFormat="1" applyFont="1" applyFill="1" applyBorder="1" applyAlignment="1">
      <alignment horizontal="right" vertical="top"/>
    </xf>
    <xf numFmtId="188" fontId="4" fillId="16" borderId="40" xfId="0" applyNumberFormat="1" applyFont="1" applyFill="1" applyBorder="1" applyAlignment="1">
      <alignment horizontal="right" vertical="top"/>
    </xf>
    <xf numFmtId="188" fontId="4" fillId="16" borderId="11" xfId="0" applyNumberFormat="1" applyFont="1" applyFill="1" applyBorder="1" applyAlignment="1">
      <alignment horizontal="right" vertical="top"/>
    </xf>
    <xf numFmtId="188" fontId="4" fillId="16" borderId="33" xfId="0" applyNumberFormat="1" applyFont="1" applyFill="1" applyBorder="1" applyAlignment="1">
      <alignment horizontal="right" vertical="top"/>
    </xf>
    <xf numFmtId="0" fontId="6" fillId="16" borderId="29" xfId="0" applyFont="1" applyFill="1" applyBorder="1" applyAlignment="1">
      <alignment horizontal="center" vertical="top" wrapText="1"/>
    </xf>
    <xf numFmtId="188" fontId="5" fillId="16" borderId="46" xfId="0" applyNumberFormat="1" applyFont="1" applyFill="1" applyBorder="1" applyAlignment="1">
      <alignment horizontal="right" vertical="top"/>
    </xf>
    <xf numFmtId="188" fontId="5" fillId="16" borderId="71" xfId="0" applyNumberFormat="1" applyFont="1" applyFill="1" applyBorder="1" applyAlignment="1">
      <alignment horizontal="right" vertical="top"/>
    </xf>
    <xf numFmtId="188" fontId="5" fillId="16" borderId="26" xfId="0" applyNumberFormat="1" applyFont="1" applyFill="1" applyBorder="1" applyAlignment="1">
      <alignment horizontal="right" vertical="top"/>
    </xf>
    <xf numFmtId="188" fontId="5" fillId="16" borderId="82" xfId="0" applyNumberFormat="1" applyFont="1" applyFill="1" applyBorder="1" applyAlignment="1">
      <alignment horizontal="right" vertical="top"/>
    </xf>
    <xf numFmtId="188" fontId="5" fillId="16" borderId="80" xfId="0" applyNumberFormat="1" applyFont="1" applyFill="1" applyBorder="1" applyAlignment="1">
      <alignment horizontal="right" vertical="top"/>
    </xf>
    <xf numFmtId="0" fontId="6" fillId="16" borderId="79" xfId="0" applyFont="1" applyFill="1" applyBorder="1" applyAlignment="1">
      <alignment horizontal="center" vertical="center"/>
    </xf>
    <xf numFmtId="188" fontId="5" fillId="16" borderId="61" xfId="0" applyNumberFormat="1" applyFont="1" applyFill="1" applyBorder="1" applyAlignment="1">
      <alignment horizontal="right" vertical="center"/>
    </xf>
    <xf numFmtId="0" fontId="6" fillId="16" borderId="80" xfId="0" applyFont="1" applyFill="1" applyBorder="1" applyAlignment="1">
      <alignment horizontal="center" vertical="top" wrapText="1"/>
    </xf>
    <xf numFmtId="188" fontId="5" fillId="16" borderId="30" xfId="0" applyNumberFormat="1" applyFont="1" applyFill="1" applyBorder="1" applyAlignment="1">
      <alignment horizontal="center" vertical="top"/>
    </xf>
    <xf numFmtId="188" fontId="5" fillId="16" borderId="80" xfId="0" applyNumberFormat="1" applyFont="1" applyFill="1" applyBorder="1" applyAlignment="1">
      <alignment horizontal="center" vertical="top"/>
    </xf>
    <xf numFmtId="188" fontId="5" fillId="16" borderId="26" xfId="0" applyNumberFormat="1" applyFont="1" applyFill="1" applyBorder="1" applyAlignment="1">
      <alignment horizontal="center" vertical="top"/>
    </xf>
    <xf numFmtId="188" fontId="5" fillId="16" borderId="81" xfId="0" applyNumberFormat="1" applyFont="1" applyFill="1" applyBorder="1" applyAlignment="1">
      <alignment horizontal="center" vertical="top"/>
    </xf>
    <xf numFmtId="188" fontId="5" fillId="16" borderId="72" xfId="0" applyNumberFormat="1" applyFont="1" applyFill="1" applyBorder="1" applyAlignment="1">
      <alignment horizontal="center" vertical="top"/>
    </xf>
    <xf numFmtId="188" fontId="5" fillId="16" borderId="30" xfId="0" applyNumberFormat="1" applyFont="1" applyFill="1" applyBorder="1" applyAlignment="1">
      <alignment vertical="top"/>
    </xf>
    <xf numFmtId="188" fontId="5" fillId="16" borderId="26" xfId="0" applyNumberFormat="1" applyFont="1" applyFill="1" applyBorder="1" applyAlignment="1">
      <alignment vertical="top"/>
    </xf>
    <xf numFmtId="188" fontId="5" fillId="16" borderId="81" xfId="0" applyNumberFormat="1" applyFont="1" applyFill="1" applyBorder="1" applyAlignment="1">
      <alignment vertical="top"/>
    </xf>
    <xf numFmtId="188" fontId="5" fillId="16" borderId="79" xfId="0" applyNumberFormat="1" applyFont="1" applyFill="1" applyBorder="1" applyAlignment="1">
      <alignment horizontal="center" vertical="top"/>
    </xf>
    <xf numFmtId="188" fontId="5" fillId="16" borderId="61" xfId="0" applyNumberFormat="1" applyFont="1" applyFill="1" applyBorder="1" applyAlignment="1">
      <alignment horizontal="center" vertical="top"/>
    </xf>
    <xf numFmtId="0" fontId="6" fillId="16" borderId="79" xfId="0" applyFont="1" applyFill="1" applyBorder="1" applyAlignment="1">
      <alignment horizontal="center" vertical="top" wrapText="1"/>
    </xf>
    <xf numFmtId="188" fontId="5" fillId="16" borderId="72" xfId="0" applyNumberFormat="1" applyFont="1" applyFill="1" applyBorder="1" applyAlignment="1">
      <alignment horizontal="right" vertical="top"/>
    </xf>
    <xf numFmtId="188" fontId="5" fillId="16" borderId="43" xfId="0" applyNumberFormat="1" applyFont="1" applyFill="1" applyBorder="1" applyAlignment="1">
      <alignment horizontal="right" vertical="top"/>
    </xf>
    <xf numFmtId="188" fontId="5" fillId="16" borderId="30" xfId="0" applyNumberFormat="1" applyFont="1" applyFill="1" applyBorder="1" applyAlignment="1">
      <alignment horizontal="right" vertical="top"/>
    </xf>
    <xf numFmtId="188" fontId="5" fillId="16" borderId="72" xfId="0" applyNumberFormat="1" applyFont="1" applyFill="1" applyBorder="1" applyAlignment="1">
      <alignment horizontal="right" vertical="top"/>
    </xf>
    <xf numFmtId="188" fontId="5" fillId="16" borderId="81" xfId="0" applyNumberFormat="1" applyFont="1" applyFill="1" applyBorder="1" applyAlignment="1">
      <alignment horizontal="right" vertical="top"/>
    </xf>
    <xf numFmtId="188" fontId="4" fillId="16" borderId="10" xfId="0" applyNumberFormat="1" applyFont="1" applyFill="1" applyBorder="1" applyAlignment="1">
      <alignment horizontal="right" vertical="top"/>
    </xf>
    <xf numFmtId="188" fontId="4" fillId="16" borderId="24" xfId="0" applyNumberFormat="1" applyFont="1" applyFill="1" applyBorder="1" applyAlignment="1">
      <alignment horizontal="right" vertical="top"/>
    </xf>
    <xf numFmtId="188" fontId="4" fillId="16" borderId="47" xfId="0" applyNumberFormat="1" applyFont="1" applyFill="1" applyBorder="1" applyAlignment="1">
      <alignment horizontal="right" vertical="top"/>
    </xf>
    <xf numFmtId="188" fontId="4" fillId="16" borderId="53" xfId="0" applyNumberFormat="1" applyFont="1" applyFill="1" applyBorder="1" applyAlignment="1">
      <alignment horizontal="right" vertical="top"/>
    </xf>
    <xf numFmtId="188" fontId="4" fillId="16" borderId="31" xfId="0" applyNumberFormat="1" applyFont="1" applyFill="1" applyBorder="1" applyAlignment="1">
      <alignment horizontal="right" vertical="top"/>
    </xf>
    <xf numFmtId="188" fontId="4" fillId="16" borderId="35" xfId="0" applyNumberFormat="1" applyFont="1" applyFill="1" applyBorder="1" applyAlignment="1">
      <alignment vertical="top"/>
    </xf>
    <xf numFmtId="188" fontId="4" fillId="16" borderId="36" xfId="0" applyNumberFormat="1" applyFont="1" applyFill="1" applyBorder="1" applyAlignment="1">
      <alignment vertical="top"/>
    </xf>
    <xf numFmtId="188" fontId="4" fillId="16" borderId="37" xfId="0" applyNumberFormat="1" applyFont="1" applyFill="1" applyBorder="1" applyAlignment="1">
      <alignment vertical="top"/>
    </xf>
    <xf numFmtId="188" fontId="4" fillId="16" borderId="40" xfId="0" applyNumberFormat="1" applyFont="1" applyFill="1" applyBorder="1" applyAlignment="1">
      <alignment vertical="top"/>
    </xf>
    <xf numFmtId="188" fontId="4" fillId="16" borderId="19" xfId="0" applyNumberFormat="1" applyFont="1" applyFill="1" applyBorder="1" applyAlignment="1">
      <alignment vertical="top"/>
    </xf>
    <xf numFmtId="188" fontId="4" fillId="16" borderId="41" xfId="0" applyNumberFormat="1" applyFont="1" applyFill="1" applyBorder="1" applyAlignment="1">
      <alignment vertical="top"/>
    </xf>
    <xf numFmtId="188" fontId="4" fillId="16" borderId="25" xfId="0" applyNumberFormat="1" applyFont="1" applyFill="1" applyBorder="1" applyAlignment="1">
      <alignment horizontal="right" vertical="top"/>
    </xf>
    <xf numFmtId="188" fontId="4" fillId="16" borderId="38" xfId="0" applyNumberFormat="1" applyFont="1" applyFill="1" applyBorder="1" applyAlignment="1">
      <alignment horizontal="right" vertical="top"/>
    </xf>
    <xf numFmtId="188" fontId="4" fillId="16" borderId="20" xfId="0" applyNumberFormat="1" applyFont="1" applyFill="1" applyBorder="1" applyAlignment="1">
      <alignment horizontal="right" vertical="top"/>
    </xf>
    <xf numFmtId="188" fontId="4" fillId="16" borderId="43" xfId="0" applyNumberFormat="1" applyFont="1" applyFill="1" applyBorder="1" applyAlignment="1">
      <alignment horizontal="right" vertical="top"/>
    </xf>
    <xf numFmtId="188" fontId="4" fillId="16" borderId="44" xfId="0" applyNumberFormat="1" applyFont="1" applyFill="1" applyBorder="1" applyAlignment="1">
      <alignment horizontal="right" vertical="top"/>
    </xf>
    <xf numFmtId="188" fontId="4" fillId="16" borderId="48" xfId="0" applyNumberFormat="1" applyFont="1" applyFill="1" applyBorder="1" applyAlignment="1">
      <alignment horizontal="right" vertical="top"/>
    </xf>
    <xf numFmtId="188" fontId="4" fillId="16" borderId="50" xfId="0" applyNumberFormat="1" applyFont="1" applyFill="1" applyBorder="1" applyAlignment="1">
      <alignment horizontal="right" vertical="top"/>
    </xf>
    <xf numFmtId="188" fontId="4" fillId="16" borderId="23" xfId="0" applyNumberFormat="1" applyFont="1" applyFill="1" applyBorder="1" applyAlignment="1">
      <alignment horizontal="right" vertical="top"/>
    </xf>
    <xf numFmtId="188" fontId="4" fillId="16" borderId="45" xfId="0" applyNumberFormat="1" applyFont="1" applyFill="1" applyBorder="1" applyAlignment="1">
      <alignment horizontal="right" vertical="top"/>
    </xf>
    <xf numFmtId="0" fontId="6" fillId="16" borderId="61" xfId="0" applyFont="1" applyFill="1" applyBorder="1" applyAlignment="1">
      <alignment horizontal="center" vertical="top" wrapText="1"/>
    </xf>
    <xf numFmtId="188" fontId="5" fillId="16" borderId="84" xfId="0" applyNumberFormat="1" applyFont="1" applyFill="1" applyBorder="1" applyAlignment="1">
      <alignment horizontal="right" vertical="top"/>
    </xf>
    <xf numFmtId="188" fontId="5" fillId="16" borderId="85" xfId="0" applyNumberFormat="1" applyFont="1" applyFill="1" applyBorder="1" applyAlignment="1">
      <alignment horizontal="right" vertical="top"/>
    </xf>
    <xf numFmtId="188" fontId="5" fillId="16" borderId="86" xfId="0" applyNumberFormat="1" applyFont="1" applyFill="1" applyBorder="1" applyAlignment="1">
      <alignment horizontal="right" vertical="top"/>
    </xf>
    <xf numFmtId="188" fontId="5" fillId="16" borderId="77" xfId="0" applyNumberFormat="1" applyFont="1" applyFill="1" applyBorder="1" applyAlignment="1">
      <alignment horizontal="right" vertical="top"/>
    </xf>
    <xf numFmtId="0" fontId="6" fillId="16" borderId="71" xfId="0" applyFont="1" applyFill="1" applyBorder="1" applyAlignment="1">
      <alignment horizontal="center" vertical="top" wrapText="1"/>
    </xf>
    <xf numFmtId="188" fontId="5" fillId="16" borderId="16" xfId="0" applyNumberFormat="1" applyFont="1" applyFill="1" applyBorder="1" applyAlignment="1">
      <alignment horizontal="right" vertical="top"/>
    </xf>
    <xf numFmtId="0" fontId="6" fillId="16" borderId="67" xfId="0" applyFont="1" applyFill="1" applyBorder="1" applyAlignment="1">
      <alignment horizontal="center" vertical="top" wrapText="1"/>
    </xf>
    <xf numFmtId="0" fontId="6" fillId="16" borderId="68" xfId="0" applyFont="1" applyFill="1" applyBorder="1" applyAlignment="1">
      <alignment horizontal="left" vertical="center" wrapText="1"/>
    </xf>
    <xf numFmtId="188" fontId="6" fillId="16" borderId="39" xfId="0" applyNumberFormat="1" applyFont="1" applyFill="1" applyBorder="1" applyAlignment="1">
      <alignment horizontal="right" vertical="top" wrapText="1"/>
    </xf>
    <xf numFmtId="188" fontId="8" fillId="16" borderId="49" xfId="0" applyNumberFormat="1" applyFont="1" applyFill="1" applyBorder="1" applyAlignment="1">
      <alignment horizontal="right" vertical="top" wrapText="1"/>
    </xf>
    <xf numFmtId="188" fontId="8" fillId="16" borderId="42" xfId="0" applyNumberFormat="1" applyFont="1" applyFill="1" applyBorder="1" applyAlignment="1">
      <alignment horizontal="right" vertical="top" wrapText="1"/>
    </xf>
    <xf numFmtId="188" fontId="8" fillId="16" borderId="49" xfId="0" applyNumberFormat="1" applyFont="1" applyFill="1" applyBorder="1" applyAlignment="1">
      <alignment horizontal="right" vertical="top" wrapText="1"/>
    </xf>
    <xf numFmtId="49" fontId="6" fillId="0" borderId="52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top" wrapText="1"/>
    </xf>
    <xf numFmtId="188" fontId="27" fillId="0" borderId="84" xfId="0" applyNumberFormat="1" applyFont="1" applyFill="1" applyBorder="1" applyAlignment="1">
      <alignment horizontal="center" vertical="top" wrapText="1"/>
    </xf>
    <xf numFmtId="188" fontId="27" fillId="0" borderId="55" xfId="0" applyNumberFormat="1" applyFont="1" applyFill="1" applyBorder="1" applyAlignment="1">
      <alignment horizontal="center" vertical="top" wrapText="1"/>
    </xf>
    <xf numFmtId="188" fontId="27" fillId="0" borderId="35" xfId="0" applyNumberFormat="1" applyFont="1" applyFill="1" applyBorder="1" applyAlignment="1">
      <alignment horizontal="center" vertical="top" wrapText="1"/>
    </xf>
    <xf numFmtId="0" fontId="27" fillId="0" borderId="35" xfId="0" applyFont="1" applyFill="1" applyBorder="1" applyAlignment="1">
      <alignment horizontal="center" vertical="top" wrapText="1"/>
    </xf>
    <xf numFmtId="188" fontId="27" fillId="0" borderId="54" xfId="0" applyNumberFormat="1" applyFont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top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top" wrapText="1"/>
    </xf>
    <xf numFmtId="0" fontId="6" fillId="0" borderId="58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49" fontId="5" fillId="8" borderId="10" xfId="0" applyNumberFormat="1" applyFont="1" applyFill="1" applyBorder="1" applyAlignment="1">
      <alignment horizontal="left" vertical="top"/>
    </xf>
    <xf numFmtId="49" fontId="5" fillId="8" borderId="30" xfId="0" applyNumberFormat="1" applyFont="1" applyFill="1" applyBorder="1" applyAlignment="1">
      <alignment horizontal="center" vertical="top"/>
    </xf>
    <xf numFmtId="49" fontId="5" fillId="4" borderId="26" xfId="0" applyNumberFormat="1" applyFont="1" applyFill="1" applyBorder="1" applyAlignment="1">
      <alignment horizontal="center" vertical="top"/>
    </xf>
    <xf numFmtId="49" fontId="5" fillId="8" borderId="14" xfId="0" applyNumberFormat="1" applyFont="1" applyFill="1" applyBorder="1" applyAlignment="1">
      <alignment horizontal="center" vertical="top"/>
    </xf>
    <xf numFmtId="49" fontId="5" fillId="4" borderId="15" xfId="0" applyNumberFormat="1" applyFont="1" applyFill="1" applyBorder="1" applyAlignment="1">
      <alignment horizontal="center" vertical="top"/>
    </xf>
    <xf numFmtId="188" fontId="11" fillId="0" borderId="35" xfId="0" applyNumberFormat="1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/>
    </xf>
    <xf numFmtId="188" fontId="11" fillId="0" borderId="11" xfId="0" applyNumberFormat="1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49" fontId="5" fillId="8" borderId="55" xfId="0" applyNumberFormat="1" applyFont="1" applyFill="1" applyBorder="1" applyAlignment="1">
      <alignment horizontal="center" vertical="top"/>
    </xf>
    <xf numFmtId="188" fontId="6" fillId="0" borderId="55" xfId="0" applyNumberFormat="1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top" wrapText="1"/>
    </xf>
    <xf numFmtId="49" fontId="5" fillId="8" borderId="12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188" fontId="6" fillId="0" borderId="35" xfId="0" applyNumberFormat="1" applyFont="1" applyFill="1" applyBorder="1" applyAlignment="1">
      <alignment horizontal="center" vertical="top" wrapText="1"/>
    </xf>
    <xf numFmtId="188" fontId="4" fillId="0" borderId="42" xfId="0" applyNumberFormat="1" applyFont="1" applyFill="1" applyBorder="1" applyAlignment="1">
      <alignment horizontal="right" vertical="top"/>
    </xf>
    <xf numFmtId="0" fontId="8" fillId="0" borderId="29" xfId="0" applyFont="1" applyFill="1" applyBorder="1" applyAlignment="1">
      <alignment horizontal="center" vertical="top" wrapText="1"/>
    </xf>
    <xf numFmtId="188" fontId="4" fillId="0" borderId="50" xfId="0" applyNumberFormat="1" applyFont="1" applyFill="1" applyBorder="1" applyAlignment="1">
      <alignment horizontal="right" vertical="top"/>
    </xf>
    <xf numFmtId="188" fontId="4" fillId="0" borderId="23" xfId="0" applyNumberFormat="1" applyFont="1" applyFill="1" applyBorder="1" applyAlignment="1">
      <alignment horizontal="right" vertical="top"/>
    </xf>
    <xf numFmtId="188" fontId="4" fillId="0" borderId="45" xfId="0" applyNumberFormat="1" applyFont="1" applyFill="1" applyBorder="1" applyAlignment="1">
      <alignment horizontal="right" vertical="top"/>
    </xf>
    <xf numFmtId="188" fontId="4" fillId="0" borderId="23" xfId="0" applyNumberFormat="1" applyFont="1" applyBorder="1" applyAlignment="1">
      <alignment horizontal="right" vertical="top"/>
    </xf>
    <xf numFmtId="188" fontId="4" fillId="0" borderId="44" xfId="0" applyNumberFormat="1" applyFont="1" applyFill="1" applyBorder="1" applyAlignment="1">
      <alignment horizontal="right" vertical="top"/>
    </xf>
    <xf numFmtId="188" fontId="4" fillId="0" borderId="46" xfId="0" applyNumberFormat="1" applyFont="1" applyBorder="1" applyAlignment="1">
      <alignment horizontal="right" vertical="top"/>
    </xf>
    <xf numFmtId="188" fontId="5" fillId="11" borderId="11" xfId="0" applyNumberFormat="1" applyFont="1" applyFill="1" applyBorder="1" applyAlignment="1">
      <alignment horizontal="right" vertical="top"/>
    </xf>
    <xf numFmtId="188" fontId="5" fillId="11" borderId="17" xfId="0" applyNumberFormat="1" applyFont="1" applyFill="1" applyBorder="1" applyAlignment="1">
      <alignment horizontal="right" vertical="top"/>
    </xf>
    <xf numFmtId="188" fontId="5" fillId="11" borderId="51" xfId="0" applyNumberFormat="1" applyFont="1" applyFill="1" applyBorder="1" applyAlignment="1">
      <alignment horizontal="right" vertical="top"/>
    </xf>
    <xf numFmtId="0" fontId="8" fillId="0" borderId="32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49" fontId="5" fillId="8" borderId="10" xfId="0" applyNumberFormat="1" applyFont="1" applyFill="1" applyBorder="1" applyAlignment="1">
      <alignment horizontal="center" vertical="top"/>
    </xf>
    <xf numFmtId="188" fontId="4" fillId="0" borderId="44" xfId="0" applyNumberFormat="1" applyFont="1" applyBorder="1" applyAlignment="1">
      <alignment horizontal="right" vertical="top"/>
    </xf>
    <xf numFmtId="0" fontId="8" fillId="0" borderId="33" xfId="0" applyFont="1" applyFill="1" applyBorder="1" applyAlignment="1">
      <alignment horizontal="center" vertical="top"/>
    </xf>
    <xf numFmtId="188" fontId="5" fillId="0" borderId="19" xfId="0" applyNumberFormat="1" applyFont="1" applyFill="1" applyBorder="1" applyAlignment="1">
      <alignment horizontal="right" vertical="top"/>
    </xf>
    <xf numFmtId="188" fontId="5" fillId="11" borderId="0" xfId="0" applyNumberFormat="1" applyFont="1" applyFill="1" applyBorder="1" applyAlignment="1">
      <alignment horizontal="right" vertical="top"/>
    </xf>
    <xf numFmtId="188" fontId="4" fillId="0" borderId="78" xfId="0" applyNumberFormat="1" applyFont="1" applyFill="1" applyBorder="1" applyAlignment="1">
      <alignment horizontal="right" vertical="top"/>
    </xf>
    <xf numFmtId="188" fontId="4" fillId="0" borderId="78" xfId="0" applyNumberFormat="1" applyFont="1" applyBorder="1" applyAlignment="1">
      <alignment horizontal="right" vertical="top"/>
    </xf>
    <xf numFmtId="188" fontId="4" fillId="0" borderId="46" xfId="0" applyNumberFormat="1" applyFont="1" applyFill="1" applyBorder="1" applyAlignment="1">
      <alignment horizontal="right" vertical="top"/>
    </xf>
    <xf numFmtId="188" fontId="11" fillId="0" borderId="50" xfId="0" applyNumberFormat="1" applyFont="1" applyFill="1" applyBorder="1" applyAlignment="1">
      <alignment vertical="center" textRotation="90" wrapText="1"/>
    </xf>
    <xf numFmtId="0" fontId="8" fillId="0" borderId="27" xfId="0" applyFont="1" applyBorder="1" applyAlignment="1">
      <alignment horizontal="center" vertical="top"/>
    </xf>
    <xf numFmtId="188" fontId="5" fillId="11" borderId="31" xfId="0" applyNumberFormat="1" applyFont="1" applyFill="1" applyBorder="1" applyAlignment="1">
      <alignment horizontal="right" vertical="top"/>
    </xf>
    <xf numFmtId="0" fontId="8" fillId="0" borderId="32" xfId="0" applyFont="1" applyFill="1" applyBorder="1" applyAlignment="1">
      <alignment horizontal="center" vertical="top"/>
    </xf>
    <xf numFmtId="188" fontId="4" fillId="0" borderId="11" xfId="0" applyNumberFormat="1" applyFont="1" applyFill="1" applyBorder="1" applyAlignment="1">
      <alignment horizontal="right" vertical="top"/>
    </xf>
    <xf numFmtId="188" fontId="4" fillId="0" borderId="0" xfId="0" applyNumberFormat="1" applyFont="1" applyBorder="1" applyAlignment="1">
      <alignment horizontal="right" vertical="top"/>
    </xf>
    <xf numFmtId="188" fontId="4" fillId="0" borderId="31" xfId="0" applyNumberFormat="1" applyFont="1" applyBorder="1" applyAlignment="1">
      <alignment horizontal="right" vertical="top"/>
    </xf>
    <xf numFmtId="188" fontId="5" fillId="0" borderId="35" xfId="0" applyNumberFormat="1" applyFont="1" applyFill="1" applyBorder="1" applyAlignment="1">
      <alignment horizontal="center" vertical="top" wrapText="1"/>
    </xf>
    <xf numFmtId="188" fontId="5" fillId="0" borderId="11" xfId="0" applyNumberFormat="1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/>
    </xf>
    <xf numFmtId="188" fontId="4" fillId="0" borderId="17" xfId="0" applyNumberFormat="1" applyFont="1" applyBorder="1" applyAlignment="1">
      <alignment horizontal="right" vertical="top"/>
    </xf>
    <xf numFmtId="188" fontId="4" fillId="0" borderId="52" xfId="0" applyNumberFormat="1" applyFont="1" applyBorder="1" applyAlignment="1">
      <alignment horizontal="right" vertical="top"/>
    </xf>
    <xf numFmtId="0" fontId="5" fillId="0" borderId="41" xfId="52" applyFont="1" applyFill="1" applyBorder="1" applyAlignment="1">
      <alignment vertical="top" wrapText="1"/>
      <protection/>
    </xf>
    <xf numFmtId="0" fontId="8" fillId="0" borderId="29" xfId="0" applyFont="1" applyFill="1" applyBorder="1" applyAlignment="1">
      <alignment horizontal="center" vertical="top"/>
    </xf>
    <xf numFmtId="188" fontId="4" fillId="0" borderId="83" xfId="0" applyNumberFormat="1" applyFont="1" applyFill="1" applyBorder="1" applyAlignment="1">
      <alignment horizontal="right" vertical="top"/>
    </xf>
    <xf numFmtId="188" fontId="4" fillId="0" borderId="53" xfId="0" applyNumberFormat="1" applyFont="1" applyFill="1" applyBorder="1" applyAlignment="1">
      <alignment horizontal="right" vertical="top"/>
    </xf>
    <xf numFmtId="0" fontId="4" fillId="0" borderId="7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188" fontId="4" fillId="0" borderId="43" xfId="0" applyNumberFormat="1" applyFont="1" applyFill="1" applyBorder="1" applyAlignment="1">
      <alignment horizontal="right" vertical="top"/>
    </xf>
    <xf numFmtId="49" fontId="5" fillId="8" borderId="14" xfId="0" applyNumberFormat="1" applyFont="1" applyFill="1" applyBorder="1" applyAlignment="1">
      <alignment vertical="top"/>
    </xf>
    <xf numFmtId="188" fontId="5" fillId="4" borderId="87" xfId="0" applyNumberFormat="1" applyFont="1" applyFill="1" applyBorder="1" applyAlignment="1">
      <alignment horizontal="right" vertical="center"/>
    </xf>
    <xf numFmtId="188" fontId="6" fillId="0" borderId="54" xfId="0" applyNumberFormat="1" applyFont="1" applyBorder="1" applyAlignment="1">
      <alignment horizontal="center" vertical="center" wrapText="1"/>
    </xf>
    <xf numFmtId="188" fontId="8" fillId="0" borderId="62" xfId="0" applyNumberFormat="1" applyFont="1" applyFill="1" applyBorder="1" applyAlignment="1">
      <alignment horizontal="center" vertical="top" wrapText="1"/>
    </xf>
    <xf numFmtId="188" fontId="4" fillId="0" borderId="62" xfId="0" applyNumberFormat="1" applyFont="1" applyFill="1" applyBorder="1" applyAlignment="1">
      <alignment horizontal="right" vertical="top"/>
    </xf>
    <xf numFmtId="188" fontId="5" fillId="0" borderId="58" xfId="0" applyNumberFormat="1" applyFont="1" applyFill="1" applyBorder="1" applyAlignment="1">
      <alignment horizontal="right" vertical="top"/>
    </xf>
    <xf numFmtId="0" fontId="8" fillId="0" borderId="42" xfId="0" applyFont="1" applyBorder="1" applyAlignment="1">
      <alignment horizontal="center" vertical="top" wrapText="1"/>
    </xf>
    <xf numFmtId="188" fontId="4" fillId="0" borderId="28" xfId="0" applyNumberFormat="1" applyFont="1" applyFill="1" applyBorder="1" applyAlignment="1">
      <alignment horizontal="right" vertical="top"/>
    </xf>
    <xf numFmtId="188" fontId="5" fillId="0" borderId="42" xfId="0" applyNumberFormat="1" applyFont="1" applyFill="1" applyBorder="1" applyAlignment="1">
      <alignment horizontal="right" vertical="top"/>
    </xf>
    <xf numFmtId="0" fontId="8" fillId="0" borderId="29" xfId="0" applyFont="1" applyBorder="1" applyAlignment="1">
      <alignment horizontal="center" vertical="top" wrapText="1"/>
    </xf>
    <xf numFmtId="188" fontId="4" fillId="0" borderId="29" xfId="0" applyNumberFormat="1" applyFont="1" applyFill="1" applyBorder="1" applyAlignment="1">
      <alignment horizontal="right" vertical="top"/>
    </xf>
    <xf numFmtId="188" fontId="5" fillId="0" borderId="46" xfId="0" applyNumberFormat="1" applyFont="1" applyFill="1" applyBorder="1" applyAlignment="1">
      <alignment horizontal="right" vertical="top"/>
    </xf>
    <xf numFmtId="188" fontId="5" fillId="4" borderId="14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188" fontId="4" fillId="0" borderId="33" xfId="0" applyNumberFormat="1" applyFont="1" applyFill="1" applyBorder="1" applyAlignment="1">
      <alignment horizontal="right" vertical="top" wrapText="1"/>
    </xf>
    <xf numFmtId="0" fontId="4" fillId="0" borderId="42" xfId="0" applyFont="1" applyBorder="1" applyAlignment="1">
      <alignment horizontal="center" vertical="top" wrapText="1"/>
    </xf>
    <xf numFmtId="188" fontId="4" fillId="0" borderId="36" xfId="0" applyNumberFormat="1" applyFont="1" applyFill="1" applyBorder="1" applyAlignment="1">
      <alignment horizontal="right" vertical="top" wrapText="1"/>
    </xf>
    <xf numFmtId="188" fontId="4" fillId="0" borderId="37" xfId="0" applyNumberFormat="1" applyFont="1" applyFill="1" applyBorder="1" applyAlignment="1">
      <alignment horizontal="right" vertical="top" wrapText="1"/>
    </xf>
    <xf numFmtId="188" fontId="4" fillId="0" borderId="38" xfId="0" applyNumberFormat="1" applyFont="1" applyFill="1" applyBorder="1" applyAlignment="1">
      <alignment horizontal="right" vertical="top" wrapText="1"/>
    </xf>
    <xf numFmtId="188" fontId="4" fillId="0" borderId="19" xfId="0" applyNumberFormat="1" applyFont="1" applyFill="1" applyBorder="1" applyAlignment="1">
      <alignment horizontal="right" vertical="top" wrapText="1"/>
    </xf>
    <xf numFmtId="188" fontId="4" fillId="0" borderId="41" xfId="0" applyNumberFormat="1" applyFont="1" applyFill="1" applyBorder="1" applyAlignment="1">
      <alignment horizontal="right" vertical="top" wrapText="1"/>
    </xf>
    <xf numFmtId="188" fontId="4" fillId="0" borderId="20" xfId="0" applyNumberFormat="1" applyFont="1" applyFill="1" applyBorder="1" applyAlignment="1">
      <alignment horizontal="right" vertical="top" wrapText="1"/>
    </xf>
    <xf numFmtId="0" fontId="4" fillId="0" borderId="49" xfId="0" applyFont="1" applyBorder="1" applyAlignment="1">
      <alignment horizontal="center" vertical="top" wrapText="1"/>
    </xf>
    <xf numFmtId="188" fontId="4" fillId="0" borderId="24" xfId="0" applyNumberFormat="1" applyFont="1" applyFill="1" applyBorder="1" applyAlignment="1">
      <alignment horizontal="right" vertical="top" wrapText="1"/>
    </xf>
    <xf numFmtId="188" fontId="4" fillId="0" borderId="47" xfId="0" applyNumberFormat="1" applyFont="1" applyFill="1" applyBorder="1" applyAlignment="1">
      <alignment horizontal="right" vertical="top" wrapText="1"/>
    </xf>
    <xf numFmtId="188" fontId="4" fillId="0" borderId="48" xfId="0" applyNumberFormat="1" applyFont="1" applyFill="1" applyBorder="1" applyAlignment="1">
      <alignment horizontal="right" vertical="top" wrapText="1"/>
    </xf>
    <xf numFmtId="188" fontId="4" fillId="0" borderId="49" xfId="0" applyNumberFormat="1" applyFont="1" applyFill="1" applyBorder="1" applyAlignment="1">
      <alignment horizontal="right" vertical="top" wrapText="1"/>
    </xf>
    <xf numFmtId="0" fontId="4" fillId="0" borderId="39" xfId="0" applyFont="1" applyFill="1" applyBorder="1" applyAlignment="1">
      <alignment horizontal="center" vertical="top" wrapText="1"/>
    </xf>
    <xf numFmtId="188" fontId="4" fillId="0" borderId="32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top" wrapText="1"/>
    </xf>
    <xf numFmtId="188" fontId="4" fillId="0" borderId="33" xfId="0" applyNumberFormat="1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left" vertical="top" wrapText="1"/>
    </xf>
    <xf numFmtId="0" fontId="5" fillId="4" borderId="34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188" fontId="4" fillId="0" borderId="62" xfId="0" applyNumberFormat="1" applyFont="1" applyFill="1" applyBorder="1" applyAlignment="1">
      <alignment horizontal="right" vertical="top" wrapText="1"/>
    </xf>
    <xf numFmtId="0" fontId="4" fillId="0" borderId="49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 wrapText="1"/>
    </xf>
    <xf numFmtId="188" fontId="4" fillId="0" borderId="28" xfId="0" applyNumberFormat="1" applyFont="1" applyFill="1" applyBorder="1" applyAlignment="1">
      <alignment horizontal="right" vertical="top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top" wrapText="1"/>
    </xf>
    <xf numFmtId="188" fontId="4" fillId="0" borderId="27" xfId="0" applyNumberFormat="1" applyFont="1" applyFill="1" applyBorder="1" applyAlignment="1">
      <alignment horizontal="right" vertical="top"/>
    </xf>
    <xf numFmtId="0" fontId="4" fillId="0" borderId="53" xfId="0" applyFont="1" applyFill="1" applyBorder="1" applyAlignment="1">
      <alignment horizontal="center" vertical="top" wrapText="1"/>
    </xf>
    <xf numFmtId="188" fontId="5" fillId="4" borderId="87" xfId="0" applyNumberFormat="1" applyFont="1" applyFill="1" applyBorder="1" applyAlignment="1">
      <alignment horizontal="right" vertical="top"/>
    </xf>
    <xf numFmtId="49" fontId="5" fillId="4" borderId="56" xfId="0" applyNumberFormat="1" applyFont="1" applyFill="1" applyBorder="1" applyAlignment="1">
      <alignment vertical="top"/>
    </xf>
    <xf numFmtId="49" fontId="5" fillId="4" borderId="75" xfId="0" applyNumberFormat="1" applyFont="1" applyFill="1" applyBorder="1" applyAlignment="1">
      <alignment horizontal="left" vertical="top"/>
    </xf>
    <xf numFmtId="49" fontId="11" fillId="4" borderId="76" xfId="0" applyNumberFormat="1" applyFont="1" applyFill="1" applyBorder="1" applyAlignment="1">
      <alignment horizontal="left" vertical="top"/>
    </xf>
    <xf numFmtId="49" fontId="5" fillId="4" borderId="76" xfId="0" applyNumberFormat="1" applyFont="1" applyFill="1" applyBorder="1" applyAlignment="1">
      <alignment horizontal="left" vertical="top"/>
    </xf>
    <xf numFmtId="0" fontId="8" fillId="4" borderId="40" xfId="0" applyFont="1" applyFill="1" applyBorder="1" applyAlignment="1">
      <alignment/>
    </xf>
    <xf numFmtId="0" fontId="8" fillId="4" borderId="19" xfId="0" applyFont="1" applyFill="1" applyBorder="1" applyAlignment="1">
      <alignment/>
    </xf>
    <xf numFmtId="0" fontId="8" fillId="4" borderId="41" xfId="0" applyFont="1" applyFill="1" applyBorder="1" applyAlignment="1">
      <alignment/>
    </xf>
    <xf numFmtId="49" fontId="5" fillId="4" borderId="16" xfId="0" applyNumberFormat="1" applyFont="1" applyFill="1" applyBorder="1" applyAlignment="1">
      <alignment horizontal="left" vertical="top"/>
    </xf>
    <xf numFmtId="49" fontId="5" fillId="4" borderId="34" xfId="0" applyNumberFormat="1" applyFont="1" applyFill="1" applyBorder="1" applyAlignment="1">
      <alignment horizontal="left" vertical="top"/>
    </xf>
    <xf numFmtId="188" fontId="4" fillId="0" borderId="51" xfId="0" applyNumberFormat="1" applyFont="1" applyBorder="1" applyAlignment="1">
      <alignment horizontal="right" vertical="top"/>
    </xf>
    <xf numFmtId="188" fontId="4" fillId="24" borderId="33" xfId="0" applyNumberFormat="1" applyFont="1" applyFill="1" applyBorder="1" applyAlignment="1">
      <alignment horizontal="right" vertical="top" wrapText="1"/>
    </xf>
    <xf numFmtId="188" fontId="4" fillId="24" borderId="46" xfId="0" applyNumberFormat="1" applyFont="1" applyFill="1" applyBorder="1" applyAlignment="1">
      <alignment horizontal="right" vertical="top" wrapText="1"/>
    </xf>
    <xf numFmtId="188" fontId="5" fillId="8" borderId="10" xfId="0" applyNumberFormat="1" applyFont="1" applyFill="1" applyBorder="1" applyAlignment="1">
      <alignment horizontal="center" vertical="top"/>
    </xf>
    <xf numFmtId="49" fontId="5" fillId="25" borderId="12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188" fontId="5" fillId="0" borderId="0" xfId="0" applyNumberFormat="1" applyFont="1" applyBorder="1" applyAlignment="1">
      <alignment horizontal="center" vertical="top" wrapText="1"/>
    </xf>
    <xf numFmtId="188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8" fontId="11" fillId="0" borderId="0" xfId="0" applyNumberFormat="1" applyFont="1" applyBorder="1" applyAlignment="1">
      <alignment horizontal="center" vertical="top" wrapText="1"/>
    </xf>
    <xf numFmtId="188" fontId="7" fillId="0" borderId="0" xfId="0" applyNumberFormat="1" applyFont="1" applyFill="1" applyBorder="1" applyAlignment="1">
      <alignment horizontal="center" vertical="top"/>
    </xf>
    <xf numFmtId="188" fontId="10" fillId="0" borderId="0" xfId="0" applyNumberFormat="1" applyFont="1" applyFill="1" applyBorder="1" applyAlignment="1">
      <alignment vertical="top"/>
    </xf>
    <xf numFmtId="188" fontId="6" fillId="0" borderId="53" xfId="0" applyNumberFormat="1" applyFont="1" applyFill="1" applyBorder="1" applyAlignment="1">
      <alignment vertical="center" wrapText="1"/>
    </xf>
    <xf numFmtId="188" fontId="6" fillId="0" borderId="0" xfId="0" applyNumberFormat="1" applyFont="1" applyFill="1" applyBorder="1" applyAlignment="1">
      <alignment vertical="center" wrapText="1"/>
    </xf>
    <xf numFmtId="188" fontId="4" fillId="0" borderId="53" xfId="0" applyNumberFormat="1" applyFont="1" applyFill="1" applyBorder="1" applyAlignment="1">
      <alignment vertical="top" wrapText="1"/>
    </xf>
    <xf numFmtId="188" fontId="4" fillId="0" borderId="0" xfId="0" applyNumberFormat="1" applyFont="1" applyFill="1" applyBorder="1" applyAlignment="1">
      <alignment vertical="top" wrapText="1"/>
    </xf>
    <xf numFmtId="188" fontId="4" fillId="0" borderId="53" xfId="0" applyNumberFormat="1" applyFont="1" applyBorder="1" applyAlignment="1">
      <alignment vertical="top" wrapText="1"/>
    </xf>
    <xf numFmtId="188" fontId="4" fillId="0" borderId="0" xfId="0" applyNumberFormat="1" applyFont="1" applyBorder="1" applyAlignment="1">
      <alignment vertical="top" wrapText="1"/>
    </xf>
    <xf numFmtId="49" fontId="4" fillId="0" borderId="5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188" fontId="4" fillId="16" borderId="78" xfId="0" applyNumberFormat="1" applyFont="1" applyFill="1" applyBorder="1" applyAlignment="1">
      <alignment horizontal="right" vertical="top"/>
    </xf>
    <xf numFmtId="188" fontId="4" fillId="16" borderId="23" xfId="0" applyNumberFormat="1" applyFont="1" applyFill="1" applyBorder="1" applyAlignment="1">
      <alignment horizontal="right" vertical="top"/>
    </xf>
    <xf numFmtId="0" fontId="8" fillId="0" borderId="42" xfId="0" applyFont="1" applyFill="1" applyBorder="1" applyAlignment="1">
      <alignment horizontal="center" vertical="top"/>
    </xf>
    <xf numFmtId="0" fontId="4" fillId="0" borderId="36" xfId="0" applyFont="1" applyBorder="1" applyAlignment="1">
      <alignment horizontal="center" vertical="top" wrapText="1"/>
    </xf>
    <xf numFmtId="49" fontId="4" fillId="4" borderId="76" xfId="0" applyNumberFormat="1" applyFont="1" applyFill="1" applyBorder="1" applyAlignment="1">
      <alignment horizontal="center" vertical="top"/>
    </xf>
    <xf numFmtId="49" fontId="4" fillId="4" borderId="76" xfId="0" applyNumberFormat="1" applyFont="1" applyFill="1" applyBorder="1" applyAlignment="1">
      <alignment horizontal="left" vertical="top"/>
    </xf>
    <xf numFmtId="188" fontId="4" fillId="16" borderId="50" xfId="0" applyNumberFormat="1" applyFont="1" applyFill="1" applyBorder="1" applyAlignment="1">
      <alignment horizontal="right" vertical="top"/>
    </xf>
    <xf numFmtId="188" fontId="4" fillId="16" borderId="45" xfId="0" applyNumberFormat="1" applyFont="1" applyFill="1" applyBorder="1" applyAlignment="1">
      <alignment horizontal="right" vertical="top"/>
    </xf>
    <xf numFmtId="188" fontId="4" fillId="16" borderId="44" xfId="0" applyNumberFormat="1" applyFont="1" applyFill="1" applyBorder="1" applyAlignment="1">
      <alignment horizontal="right" vertical="top"/>
    </xf>
    <xf numFmtId="0" fontId="5" fillId="16" borderId="80" xfId="0" applyFont="1" applyFill="1" applyBorder="1" applyAlignment="1">
      <alignment horizontal="center" vertical="top" wrapText="1"/>
    </xf>
    <xf numFmtId="0" fontId="6" fillId="16" borderId="79" xfId="0" applyFont="1" applyFill="1" applyBorder="1" applyAlignment="1">
      <alignment horizontal="center" vertical="center"/>
    </xf>
    <xf numFmtId="188" fontId="5" fillId="16" borderId="30" xfId="0" applyNumberFormat="1" applyFont="1" applyFill="1" applyBorder="1" applyAlignment="1">
      <alignment horizontal="right" vertical="center"/>
    </xf>
    <xf numFmtId="188" fontId="5" fillId="16" borderId="82" xfId="0" applyNumberFormat="1" applyFont="1" applyFill="1" applyBorder="1" applyAlignment="1">
      <alignment horizontal="right" vertical="center"/>
    </xf>
    <xf numFmtId="188" fontId="5" fillId="16" borderId="81" xfId="0" applyNumberFormat="1" applyFont="1" applyFill="1" applyBorder="1" applyAlignment="1">
      <alignment horizontal="right" vertical="center"/>
    </xf>
    <xf numFmtId="188" fontId="5" fillId="16" borderId="61" xfId="0" applyNumberFormat="1" applyFont="1" applyFill="1" applyBorder="1" applyAlignment="1">
      <alignment horizontal="right" vertical="center"/>
    </xf>
    <xf numFmtId="188" fontId="4" fillId="16" borderId="0" xfId="0" applyNumberFormat="1" applyFont="1" applyFill="1" applyBorder="1" applyAlignment="1">
      <alignment horizontal="right" vertical="top"/>
    </xf>
    <xf numFmtId="188" fontId="4" fillId="16" borderId="31" xfId="0" applyNumberFormat="1" applyFont="1" applyFill="1" applyBorder="1" applyAlignment="1">
      <alignment horizontal="right" vertical="top"/>
    </xf>
    <xf numFmtId="188" fontId="4" fillId="16" borderId="53" xfId="0" applyNumberFormat="1" applyFont="1" applyFill="1" applyBorder="1" applyAlignment="1">
      <alignment horizontal="right" vertical="top"/>
    </xf>
    <xf numFmtId="188" fontId="4" fillId="16" borderId="35" xfId="0" applyNumberFormat="1" applyFont="1" applyFill="1" applyBorder="1" applyAlignment="1">
      <alignment horizontal="center" vertical="top"/>
    </xf>
    <xf numFmtId="188" fontId="4" fillId="16" borderId="36" xfId="0" applyNumberFormat="1" applyFont="1" applyFill="1" applyBorder="1" applyAlignment="1">
      <alignment horizontal="center" vertical="top"/>
    </xf>
    <xf numFmtId="188" fontId="4" fillId="16" borderId="37" xfId="0" applyNumberFormat="1" applyFont="1" applyFill="1" applyBorder="1" applyAlignment="1">
      <alignment horizontal="center" vertical="top"/>
    </xf>
    <xf numFmtId="188" fontId="4" fillId="16" borderId="40" xfId="0" applyNumberFormat="1" applyFont="1" applyFill="1" applyBorder="1" applyAlignment="1">
      <alignment horizontal="center" vertical="top"/>
    </xf>
    <xf numFmtId="188" fontId="4" fillId="16" borderId="17" xfId="0" applyNumberFormat="1" applyFont="1" applyFill="1" applyBorder="1" applyAlignment="1">
      <alignment horizontal="center" vertical="top"/>
    </xf>
    <xf numFmtId="188" fontId="4" fillId="16" borderId="51" xfId="0" applyNumberFormat="1" applyFont="1" applyFill="1" applyBorder="1" applyAlignment="1">
      <alignment horizontal="center" vertical="top"/>
    </xf>
    <xf numFmtId="188" fontId="4" fillId="16" borderId="20" xfId="0" applyNumberFormat="1" applyFont="1" applyFill="1" applyBorder="1" applyAlignment="1">
      <alignment horizontal="right" vertical="top"/>
    </xf>
    <xf numFmtId="188" fontId="4" fillId="16" borderId="43" xfId="0" applyNumberFormat="1" applyFont="1" applyFill="1" applyBorder="1" applyAlignment="1">
      <alignment horizontal="right" vertical="top"/>
    </xf>
    <xf numFmtId="0" fontId="6" fillId="16" borderId="79" xfId="0" applyFont="1" applyFill="1" applyBorder="1" applyAlignment="1">
      <alignment horizontal="right" vertical="center"/>
    </xf>
    <xf numFmtId="188" fontId="5" fillId="16" borderId="81" xfId="0" applyNumberFormat="1" applyFont="1" applyFill="1" applyBorder="1" applyAlignment="1">
      <alignment horizontal="right" vertical="center" wrapText="1"/>
    </xf>
    <xf numFmtId="188" fontId="4" fillId="16" borderId="61" xfId="0" applyNumberFormat="1" applyFont="1" applyFill="1" applyBorder="1" applyAlignment="1">
      <alignment horizontal="right" vertical="center" wrapText="1"/>
    </xf>
    <xf numFmtId="0" fontId="5" fillId="16" borderId="61" xfId="0" applyFont="1" applyFill="1" applyBorder="1" applyAlignment="1">
      <alignment horizontal="center" vertical="top"/>
    </xf>
    <xf numFmtId="0" fontId="5" fillId="16" borderId="61" xfId="0" applyFont="1" applyFill="1" applyBorder="1" applyAlignment="1">
      <alignment horizontal="center" vertical="top" wrapText="1"/>
    </xf>
    <xf numFmtId="0" fontId="5" fillId="16" borderId="61" xfId="0" applyFont="1" applyFill="1" applyBorder="1" applyAlignment="1">
      <alignment horizontal="right" vertical="top"/>
    </xf>
    <xf numFmtId="188" fontId="4" fillId="16" borderId="36" xfId="0" applyNumberFormat="1" applyFont="1" applyFill="1" applyBorder="1" applyAlignment="1">
      <alignment horizontal="right" vertical="top" wrapText="1"/>
    </xf>
    <xf numFmtId="188" fontId="4" fillId="16" borderId="37" xfId="0" applyNumberFormat="1" applyFont="1" applyFill="1" applyBorder="1" applyAlignment="1">
      <alignment horizontal="right" vertical="top" wrapText="1"/>
    </xf>
    <xf numFmtId="188" fontId="4" fillId="16" borderId="19" xfId="0" applyNumberFormat="1" applyFont="1" applyFill="1" applyBorder="1" applyAlignment="1">
      <alignment horizontal="right" vertical="top" wrapText="1"/>
    </xf>
    <xf numFmtId="188" fontId="4" fillId="16" borderId="41" xfId="0" applyNumberFormat="1" applyFont="1" applyFill="1" applyBorder="1" applyAlignment="1">
      <alignment horizontal="right" vertical="top" wrapText="1"/>
    </xf>
    <xf numFmtId="188" fontId="4" fillId="16" borderId="24" xfId="0" applyNumberFormat="1" applyFont="1" applyFill="1" applyBorder="1" applyAlignment="1">
      <alignment horizontal="right" vertical="top" wrapText="1"/>
    </xf>
    <xf numFmtId="188" fontId="4" fillId="16" borderId="47" xfId="0" applyNumberFormat="1" applyFont="1" applyFill="1" applyBorder="1" applyAlignment="1">
      <alignment horizontal="right" vertical="top" wrapText="1"/>
    </xf>
    <xf numFmtId="0" fontId="5" fillId="16" borderId="79" xfId="0" applyFont="1" applyFill="1" applyBorder="1" applyAlignment="1">
      <alignment horizontal="center" vertical="top"/>
    </xf>
    <xf numFmtId="188" fontId="5" fillId="16" borderId="79" xfId="0" applyNumberFormat="1" applyFont="1" applyFill="1" applyBorder="1" applyAlignment="1">
      <alignment horizontal="right" vertical="center"/>
    </xf>
    <xf numFmtId="0" fontId="5" fillId="16" borderId="71" xfId="0" applyFont="1" applyFill="1" applyBorder="1" applyAlignment="1">
      <alignment horizontal="center" vertical="top" wrapText="1"/>
    </xf>
    <xf numFmtId="0" fontId="5" fillId="16" borderId="77" xfId="0" applyFont="1" applyFill="1" applyBorder="1" applyAlignment="1">
      <alignment horizontal="center" vertical="top" wrapText="1"/>
    </xf>
    <xf numFmtId="49" fontId="8" fillId="0" borderId="63" xfId="0" applyNumberFormat="1" applyFont="1" applyBorder="1" applyAlignment="1">
      <alignment vertical="top" wrapText="1"/>
    </xf>
    <xf numFmtId="49" fontId="4" fillId="0" borderId="63" xfId="0" applyNumberFormat="1" applyFont="1" applyFill="1" applyBorder="1" applyAlignment="1">
      <alignment vertical="top"/>
    </xf>
    <xf numFmtId="49" fontId="6" fillId="4" borderId="76" xfId="0" applyNumberFormat="1" applyFont="1" applyFill="1" applyBorder="1" applyAlignment="1">
      <alignment horizontal="left" vertical="top"/>
    </xf>
    <xf numFmtId="0" fontId="6" fillId="16" borderId="79" xfId="0" applyFont="1" applyFill="1" applyBorder="1" applyAlignment="1">
      <alignment horizontal="right" vertical="top" wrapText="1"/>
    </xf>
    <xf numFmtId="188" fontId="4" fillId="16" borderId="59" xfId="0" applyNumberFormat="1" applyFont="1" applyFill="1" applyBorder="1" applyAlignment="1">
      <alignment horizontal="right" vertical="top"/>
    </xf>
    <xf numFmtId="0" fontId="8" fillId="0" borderId="69" xfId="0" applyFont="1" applyFill="1" applyBorder="1" applyAlignment="1">
      <alignment horizontal="left" vertical="top" wrapText="1" indent="1"/>
    </xf>
    <xf numFmtId="0" fontId="8" fillId="0" borderId="42" xfId="0" applyFont="1" applyFill="1" applyBorder="1" applyAlignment="1">
      <alignment horizontal="left" vertical="top" wrapText="1" indent="1"/>
    </xf>
    <xf numFmtId="0" fontId="8" fillId="0" borderId="43" xfId="0" applyFont="1" applyBorder="1" applyAlignment="1">
      <alignment horizontal="left" vertical="top" wrapText="1" indent="1"/>
    </xf>
    <xf numFmtId="0" fontId="8" fillId="0" borderId="43" xfId="0" applyFont="1" applyFill="1" applyBorder="1" applyAlignment="1">
      <alignment horizontal="left" vertical="top" wrapText="1" indent="1"/>
    </xf>
    <xf numFmtId="0" fontId="8" fillId="0" borderId="18" xfId="0" applyFont="1" applyBorder="1" applyAlignment="1">
      <alignment horizontal="left" vertical="top" wrapText="1" indent="1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188" fontId="47" fillId="0" borderId="42" xfId="0" applyNumberFormat="1" applyFont="1" applyFill="1" applyBorder="1" applyAlignment="1">
      <alignment horizontal="right" vertical="top" wrapText="1"/>
    </xf>
    <xf numFmtId="188" fontId="47" fillId="0" borderId="49" xfId="0" applyNumberFormat="1" applyFont="1" applyFill="1" applyBorder="1" applyAlignment="1">
      <alignment horizontal="right" vertical="top"/>
    </xf>
    <xf numFmtId="188" fontId="47" fillId="0" borderId="46" xfId="0" applyNumberFormat="1" applyFont="1" applyBorder="1" applyAlignment="1">
      <alignment horizontal="right" vertical="top"/>
    </xf>
    <xf numFmtId="188" fontId="47" fillId="24" borderId="42" xfId="0" applyNumberFormat="1" applyFont="1" applyFill="1" applyBorder="1" applyAlignment="1">
      <alignment horizontal="right" vertical="top"/>
    </xf>
    <xf numFmtId="188" fontId="47" fillId="24" borderId="39" xfId="0" applyNumberFormat="1" applyFont="1" applyFill="1" applyBorder="1" applyAlignment="1">
      <alignment horizontal="right" vertical="top"/>
    </xf>
    <xf numFmtId="188" fontId="5" fillId="11" borderId="25" xfId="0" applyNumberFormat="1" applyFont="1" applyFill="1" applyBorder="1" applyAlignment="1">
      <alignment horizontal="right" vertical="top"/>
    </xf>
    <xf numFmtId="188" fontId="5" fillId="11" borderId="15" xfId="0" applyNumberFormat="1" applyFont="1" applyFill="1" applyBorder="1" applyAlignment="1">
      <alignment horizontal="right" vertical="top"/>
    </xf>
    <xf numFmtId="188" fontId="5" fillId="11" borderId="14" xfId="0" applyNumberFormat="1" applyFont="1" applyFill="1" applyBorder="1" applyAlignment="1">
      <alignment horizontal="right" vertical="top"/>
    </xf>
    <xf numFmtId="188" fontId="5" fillId="11" borderId="73" xfId="0" applyNumberFormat="1" applyFont="1" applyFill="1" applyBorder="1" applyAlignment="1">
      <alignment horizontal="right" vertical="top"/>
    </xf>
    <xf numFmtId="188" fontId="5" fillId="11" borderId="88" xfId="0" applyNumberFormat="1" applyFont="1" applyFill="1" applyBorder="1" applyAlignment="1">
      <alignment horizontal="right" vertical="top"/>
    </xf>
    <xf numFmtId="188" fontId="47" fillId="0" borderId="42" xfId="0" applyNumberFormat="1" applyFont="1" applyBorder="1" applyAlignment="1">
      <alignment horizontal="right" vertical="top"/>
    </xf>
    <xf numFmtId="49" fontId="5" fillId="4" borderId="73" xfId="0" applyNumberFormat="1" applyFont="1" applyFill="1" applyBorder="1" applyAlignment="1">
      <alignment horizontal="center" vertical="top"/>
    </xf>
    <xf numFmtId="49" fontId="5" fillId="8" borderId="14" xfId="0" applyNumberFormat="1" applyFont="1" applyFill="1" applyBorder="1" applyAlignment="1">
      <alignment horizontal="center" vertical="top"/>
    </xf>
    <xf numFmtId="49" fontId="5" fillId="8" borderId="10" xfId="0" applyNumberFormat="1" applyFont="1" applyFill="1" applyBorder="1" applyAlignment="1">
      <alignment horizontal="center" vertical="top"/>
    </xf>
    <xf numFmtId="49" fontId="5" fillId="25" borderId="12" xfId="0" applyNumberFormat="1" applyFont="1" applyFill="1" applyBorder="1" applyAlignment="1">
      <alignment horizontal="center" vertical="top"/>
    </xf>
    <xf numFmtId="0" fontId="48" fillId="0" borderId="0" xfId="0" applyFont="1" applyBorder="1" applyAlignment="1">
      <alignment vertical="top"/>
    </xf>
    <xf numFmtId="49" fontId="5" fillId="8" borderId="35" xfId="0" applyNumberFormat="1" applyFont="1" applyFill="1" applyBorder="1" applyAlignment="1">
      <alignment horizontal="center" vertical="top"/>
    </xf>
    <xf numFmtId="49" fontId="5" fillId="4" borderId="36" xfId="0" applyNumberFormat="1" applyFont="1" applyFill="1" applyBorder="1" applyAlignment="1">
      <alignment horizontal="center" vertical="top"/>
    </xf>
    <xf numFmtId="188" fontId="6" fillId="0" borderId="10" xfId="0" applyNumberFormat="1" applyFont="1" applyFill="1" applyBorder="1" applyAlignment="1">
      <alignment horizontal="center" vertical="top" wrapText="1"/>
    </xf>
    <xf numFmtId="49" fontId="48" fillId="0" borderId="33" xfId="0" applyNumberFormat="1" applyFont="1" applyFill="1" applyBorder="1" applyAlignment="1">
      <alignment vertical="top" wrapText="1"/>
    </xf>
    <xf numFmtId="188" fontId="47" fillId="24" borderId="46" xfId="0" applyNumberFormat="1" applyFont="1" applyFill="1" applyBorder="1" applyAlignment="1">
      <alignment horizontal="right" vertical="top"/>
    </xf>
    <xf numFmtId="188" fontId="6" fillId="16" borderId="42" xfId="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horizontal="left" vertical="top" wrapText="1" indent="1"/>
    </xf>
    <xf numFmtId="0" fontId="6" fillId="25" borderId="69" xfId="0" applyFont="1" applyFill="1" applyBorder="1" applyAlignment="1">
      <alignment horizontal="left" vertical="center" wrapText="1"/>
    </xf>
    <xf numFmtId="188" fontId="6" fillId="25" borderId="42" xfId="0" applyNumberFormat="1" applyFont="1" applyFill="1" applyBorder="1" applyAlignment="1">
      <alignment horizontal="right" vertical="top" wrapText="1"/>
    </xf>
    <xf numFmtId="188" fontId="6" fillId="0" borderId="42" xfId="0" applyNumberFormat="1" applyFont="1" applyBorder="1" applyAlignment="1">
      <alignment horizontal="right" vertical="top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left" vertical="top" wrapText="1" indent="1"/>
    </xf>
    <xf numFmtId="0" fontId="6" fillId="25" borderId="69" xfId="0" applyFont="1" applyFill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 indent="1"/>
    </xf>
    <xf numFmtId="188" fontId="8" fillId="0" borderId="52" xfId="0" applyNumberFormat="1" applyFont="1" applyBorder="1" applyAlignment="1">
      <alignment horizontal="right" vertical="top" wrapText="1"/>
    </xf>
    <xf numFmtId="188" fontId="8" fillId="0" borderId="25" xfId="0" applyNumberFormat="1" applyFont="1" applyBorder="1" applyAlignment="1">
      <alignment horizontal="right" vertical="top" wrapText="1"/>
    </xf>
    <xf numFmtId="188" fontId="8" fillId="16" borderId="46" xfId="0" applyNumberFormat="1" applyFont="1" applyFill="1" applyBorder="1" applyAlignment="1">
      <alignment horizontal="right" vertical="top" wrapText="1"/>
    </xf>
    <xf numFmtId="188" fontId="8" fillId="0" borderId="33" xfId="0" applyNumberFormat="1" applyFont="1" applyBorder="1" applyAlignment="1">
      <alignment horizontal="right" vertical="top" wrapText="1"/>
    </xf>
    <xf numFmtId="0" fontId="49" fillId="0" borderId="17" xfId="51" applyFont="1" applyBorder="1" applyAlignment="1">
      <alignment horizontal="left" vertical="center" wrapText="1"/>
      <protection/>
    </xf>
    <xf numFmtId="0" fontId="49" fillId="0" borderId="17" xfId="51" applyFont="1" applyBorder="1" applyAlignment="1">
      <alignment horizontal="center" vertical="center"/>
      <protection/>
    </xf>
    <xf numFmtId="49" fontId="48" fillId="0" borderId="33" xfId="0" applyNumberFormat="1" applyFont="1" applyFill="1" applyBorder="1" applyAlignment="1">
      <alignment vertical="top" wrapText="1"/>
    </xf>
    <xf numFmtId="188" fontId="5" fillId="4" borderId="15" xfId="0" applyNumberFormat="1" applyFont="1" applyFill="1" applyBorder="1" applyAlignment="1">
      <alignment horizontal="right" vertical="center"/>
    </xf>
    <xf numFmtId="188" fontId="47" fillId="0" borderId="42" xfId="0" applyNumberFormat="1" applyFont="1" applyFill="1" applyBorder="1" applyAlignment="1">
      <alignment horizontal="right" vertical="top" wrapText="1"/>
    </xf>
    <xf numFmtId="188" fontId="5" fillId="0" borderId="24" xfId="0" applyNumberFormat="1" applyFont="1" applyFill="1" applyBorder="1" applyAlignment="1">
      <alignment horizontal="right" vertical="top"/>
    </xf>
    <xf numFmtId="188" fontId="5" fillId="0" borderId="47" xfId="0" applyNumberFormat="1" applyFont="1" applyFill="1" applyBorder="1" applyAlignment="1">
      <alignment horizontal="right" vertical="top"/>
    </xf>
    <xf numFmtId="188" fontId="4" fillId="0" borderId="48" xfId="0" applyNumberFormat="1" applyFont="1" applyBorder="1" applyAlignment="1">
      <alignment horizontal="right" vertical="top"/>
    </xf>
    <xf numFmtId="188" fontId="5" fillId="16" borderId="24" xfId="0" applyNumberFormat="1" applyFont="1" applyFill="1" applyBorder="1" applyAlignment="1">
      <alignment horizontal="right" vertical="top"/>
    </xf>
    <xf numFmtId="188" fontId="5" fillId="11" borderId="74" xfId="0" applyNumberFormat="1" applyFont="1" applyFill="1" applyBorder="1" applyAlignment="1">
      <alignment horizontal="right" vertical="top"/>
    </xf>
    <xf numFmtId="188" fontId="5" fillId="11" borderId="76" xfId="0" applyNumberFormat="1" applyFont="1" applyFill="1" applyBorder="1" applyAlignment="1">
      <alignment horizontal="right" vertical="top"/>
    </xf>
    <xf numFmtId="188" fontId="5" fillId="4" borderId="73" xfId="0" applyNumberFormat="1" applyFont="1" applyFill="1" applyBorder="1" applyAlignment="1">
      <alignment horizontal="right" vertical="center"/>
    </xf>
    <xf numFmtId="188" fontId="5" fillId="4" borderId="76" xfId="0" applyNumberFormat="1" applyFont="1" applyFill="1" applyBorder="1" applyAlignment="1">
      <alignment horizontal="right" vertical="top"/>
    </xf>
    <xf numFmtId="188" fontId="5" fillId="8" borderId="24" xfId="0" applyNumberFormat="1" applyFont="1" applyFill="1" applyBorder="1" applyAlignment="1">
      <alignment horizontal="center" vertical="top"/>
    </xf>
    <xf numFmtId="188" fontId="5" fillId="8" borderId="59" xfId="0" applyNumberFormat="1" applyFont="1" applyFill="1" applyBorder="1" applyAlignment="1">
      <alignment vertical="top"/>
    </xf>
    <xf numFmtId="188" fontId="5" fillId="25" borderId="82" xfId="0" applyNumberFormat="1" applyFont="1" applyFill="1" applyBorder="1" applyAlignment="1">
      <alignment vertical="top"/>
    </xf>
    <xf numFmtId="188" fontId="5" fillId="8" borderId="24" xfId="0" applyNumberFormat="1" applyFont="1" applyFill="1" applyBorder="1" applyAlignment="1">
      <alignment vertical="top"/>
    </xf>
    <xf numFmtId="188" fontId="5" fillId="25" borderId="26" xfId="0" applyNumberFormat="1" applyFont="1" applyFill="1" applyBorder="1" applyAlignment="1">
      <alignment vertical="top"/>
    </xf>
    <xf numFmtId="188" fontId="5" fillId="8" borderId="10" xfId="0" applyNumberFormat="1" applyFont="1" applyFill="1" applyBorder="1" applyAlignment="1">
      <alignment vertical="top"/>
    </xf>
    <xf numFmtId="188" fontId="5" fillId="25" borderId="30" xfId="0" applyNumberFormat="1" applyFont="1" applyFill="1" applyBorder="1" applyAlignment="1">
      <alignment vertical="top"/>
    </xf>
    <xf numFmtId="188" fontId="5" fillId="25" borderId="61" xfId="0" applyNumberFormat="1" applyFont="1" applyFill="1" applyBorder="1" applyAlignment="1">
      <alignment vertical="top"/>
    </xf>
    <xf numFmtId="188" fontId="5" fillId="4" borderId="35" xfId="0" applyNumberFormat="1" applyFont="1" applyFill="1" applyBorder="1" applyAlignment="1">
      <alignment horizontal="right" vertical="top"/>
    </xf>
    <xf numFmtId="188" fontId="5" fillId="4" borderId="36" xfId="0" applyNumberFormat="1" applyFont="1" applyFill="1" applyBorder="1" applyAlignment="1">
      <alignment horizontal="right" vertical="top"/>
    </xf>
    <xf numFmtId="188" fontId="5" fillId="4" borderId="36" xfId="0" applyNumberFormat="1" applyFont="1" applyFill="1" applyBorder="1" applyAlignment="1">
      <alignment vertical="top"/>
    </xf>
    <xf numFmtId="188" fontId="5" fillId="4" borderId="70" xfId="0" applyNumberFormat="1" applyFont="1" applyFill="1" applyBorder="1" applyAlignment="1">
      <alignment vertical="top"/>
    </xf>
    <xf numFmtId="188" fontId="5" fillId="4" borderId="35" xfId="0" applyNumberFormat="1" applyFont="1" applyFill="1" applyBorder="1" applyAlignment="1">
      <alignment vertical="top"/>
    </xf>
    <xf numFmtId="188" fontId="5" fillId="4" borderId="68" xfId="0" applyNumberFormat="1" applyFont="1" applyFill="1" applyBorder="1" applyAlignment="1">
      <alignment vertical="top"/>
    </xf>
    <xf numFmtId="188" fontId="5" fillId="4" borderId="87" xfId="0" applyNumberFormat="1" applyFont="1" applyFill="1" applyBorder="1" applyAlignment="1">
      <alignment horizontal="right" vertical="center"/>
    </xf>
    <xf numFmtId="188" fontId="5" fillId="4" borderId="34" xfId="0" applyNumberFormat="1" applyFont="1" applyFill="1" applyBorder="1" applyAlignment="1">
      <alignment horizontal="right" vertical="center"/>
    </xf>
    <xf numFmtId="188" fontId="5" fillId="4" borderId="88" xfId="0" applyNumberFormat="1" applyFont="1" applyFill="1" applyBorder="1" applyAlignment="1">
      <alignment horizontal="right" vertical="center"/>
    </xf>
    <xf numFmtId="49" fontId="5" fillId="0" borderId="57" xfId="0" applyNumberFormat="1" applyFont="1" applyBorder="1" applyAlignment="1">
      <alignment vertical="top"/>
    </xf>
    <xf numFmtId="49" fontId="5" fillId="0" borderId="51" xfId="0" applyNumberFormat="1" applyFont="1" applyBorder="1" applyAlignment="1">
      <alignment vertical="top"/>
    </xf>
    <xf numFmtId="49" fontId="5" fillId="0" borderId="86" xfId="0" applyNumberFormat="1" applyFont="1" applyBorder="1" applyAlignment="1">
      <alignment vertical="top"/>
    </xf>
    <xf numFmtId="0" fontId="27" fillId="0" borderId="55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textRotation="90" wrapText="1"/>
    </xf>
    <xf numFmtId="188" fontId="27" fillId="0" borderId="10" xfId="0" applyNumberFormat="1" applyFont="1" applyFill="1" applyBorder="1" applyAlignment="1">
      <alignment horizontal="center" vertical="top" wrapText="1"/>
    </xf>
    <xf numFmtId="188" fontId="27" fillId="0" borderId="55" xfId="0" applyNumberFormat="1" applyFont="1" applyFill="1" applyBorder="1" applyAlignment="1">
      <alignment horizontal="center" vertical="top" wrapText="1"/>
    </xf>
    <xf numFmtId="49" fontId="5" fillId="24" borderId="86" xfId="0" applyNumberFormat="1" applyFont="1" applyFill="1" applyBorder="1" applyAlignment="1">
      <alignment vertical="top"/>
    </xf>
    <xf numFmtId="49" fontId="5" fillId="4" borderId="75" xfId="0" applyNumberFormat="1" applyFont="1" applyFill="1" applyBorder="1" applyAlignment="1">
      <alignment horizontal="right" vertical="top"/>
    </xf>
    <xf numFmtId="49" fontId="5" fillId="4" borderId="76" xfId="0" applyNumberFormat="1" applyFont="1" applyFill="1" applyBorder="1" applyAlignment="1">
      <alignment horizontal="right" vertical="top"/>
    </xf>
    <xf numFmtId="0" fontId="6" fillId="0" borderId="6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49" fontId="8" fillId="0" borderId="52" xfId="0" applyNumberFormat="1" applyFont="1" applyFill="1" applyBorder="1" applyAlignment="1">
      <alignment horizontal="left" vertical="top" wrapText="1"/>
    </xf>
    <xf numFmtId="49" fontId="5" fillId="24" borderId="51" xfId="0" applyNumberFormat="1" applyFont="1" applyFill="1" applyBorder="1" applyAlignment="1">
      <alignment vertical="top"/>
    </xf>
    <xf numFmtId="0" fontId="27" fillId="0" borderId="55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49" fontId="5" fillId="24" borderId="57" xfId="0" applyNumberFormat="1" applyFont="1" applyFill="1" applyBorder="1" applyAlignment="1">
      <alignment vertical="top"/>
    </xf>
    <xf numFmtId="188" fontId="27" fillId="0" borderId="12" xfId="0" applyNumberFormat="1" applyFont="1" applyFill="1" applyBorder="1" applyAlignment="1">
      <alignment horizontal="center" vertical="center" textRotation="90" wrapText="1"/>
    </xf>
    <xf numFmtId="188" fontId="27" fillId="0" borderId="11" xfId="0" applyNumberFormat="1" applyFont="1" applyFill="1" applyBorder="1" applyAlignment="1">
      <alignment horizontal="center" vertical="center" textRotation="90" wrapText="1"/>
    </xf>
    <xf numFmtId="0" fontId="8" fillId="0" borderId="62" xfId="0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188" fontId="27" fillId="0" borderId="50" xfId="0" applyNumberFormat="1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top" wrapText="1"/>
    </xf>
    <xf numFmtId="0" fontId="49" fillId="0" borderId="17" xfId="51" applyFont="1" applyBorder="1" applyAlignment="1">
      <alignment horizontal="center" vertical="top"/>
      <protection/>
    </xf>
    <xf numFmtId="0" fontId="49" fillId="0" borderId="17" xfId="51" applyFont="1" applyBorder="1" applyAlignment="1">
      <alignment horizontal="left" vertical="top" wrapText="1"/>
      <protection/>
    </xf>
    <xf numFmtId="49" fontId="6" fillId="0" borderId="62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top"/>
    </xf>
    <xf numFmtId="49" fontId="6" fillId="0" borderId="67" xfId="0" applyNumberFormat="1" applyFont="1" applyBorder="1" applyAlignment="1">
      <alignment horizontal="center" vertical="top"/>
    </xf>
    <xf numFmtId="49" fontId="5" fillId="8" borderId="55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12" xfId="0" applyNumberFormat="1" applyFont="1" applyFill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49" fontId="5" fillId="0" borderId="86" xfId="0" applyNumberFormat="1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17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0" fontId="6" fillId="4" borderId="7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34" xfId="0" applyFont="1" applyFill="1" applyBorder="1" applyAlignment="1">
      <alignment horizontal="left" vertical="top" wrapText="1"/>
    </xf>
    <xf numFmtId="0" fontId="6" fillId="24" borderId="62" xfId="0" applyFont="1" applyFill="1" applyBorder="1" applyAlignment="1">
      <alignment horizontal="left" vertical="top" wrapText="1"/>
    </xf>
    <xf numFmtId="0" fontId="6" fillId="24" borderId="33" xfId="0" applyFont="1" applyFill="1" applyBorder="1" applyAlignment="1">
      <alignment horizontal="left" vertical="top" wrapText="1"/>
    </xf>
    <xf numFmtId="0" fontId="6" fillId="24" borderId="67" xfId="0" applyFont="1" applyFill="1" applyBorder="1" applyAlignment="1">
      <alignment horizontal="left" vertical="top" wrapText="1"/>
    </xf>
    <xf numFmtId="0" fontId="27" fillId="0" borderId="55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49" fontId="6" fillId="4" borderId="75" xfId="0" applyNumberFormat="1" applyFont="1" applyFill="1" applyBorder="1" applyAlignment="1">
      <alignment horizontal="right" vertical="top"/>
    </xf>
    <xf numFmtId="49" fontId="6" fillId="4" borderId="76" xfId="0" applyNumberFormat="1" applyFont="1" applyFill="1" applyBorder="1" applyAlignment="1">
      <alignment horizontal="right" vertical="top"/>
    </xf>
    <xf numFmtId="49" fontId="27" fillId="24" borderId="55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/>
    </xf>
    <xf numFmtId="49" fontId="27" fillId="24" borderId="12" xfId="0" applyNumberFormat="1" applyFont="1" applyFill="1" applyBorder="1" applyAlignment="1">
      <alignment horizontal="center" vertical="center"/>
    </xf>
    <xf numFmtId="188" fontId="6" fillId="25" borderId="68" xfId="0" applyNumberFormat="1" applyFont="1" applyFill="1" applyBorder="1" applyAlignment="1">
      <alignment horizontal="center" vertical="top" wrapText="1"/>
    </xf>
    <xf numFmtId="188" fontId="6" fillId="25" borderId="70" xfId="0" applyNumberFormat="1" applyFont="1" applyFill="1" applyBorder="1" applyAlignment="1">
      <alignment horizontal="center" vertical="top" wrapText="1"/>
    </xf>
    <xf numFmtId="188" fontId="6" fillId="25" borderId="32" xfId="0" applyNumberFormat="1" applyFont="1" applyFill="1" applyBorder="1" applyAlignment="1">
      <alignment horizontal="center" vertical="top" wrapText="1"/>
    </xf>
    <xf numFmtId="188" fontId="8" fillId="0" borderId="18" xfId="0" applyNumberFormat="1" applyFont="1" applyBorder="1" applyAlignment="1">
      <alignment horizontal="center" vertical="top" wrapText="1"/>
    </xf>
    <xf numFmtId="188" fontId="8" fillId="0" borderId="60" xfId="0" applyNumberFormat="1" applyFont="1" applyBorder="1" applyAlignment="1">
      <alignment horizontal="center" vertical="top" wrapText="1"/>
    </xf>
    <xf numFmtId="188" fontId="8" fillId="0" borderId="2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top" wrapText="1"/>
    </xf>
    <xf numFmtId="0" fontId="6" fillId="0" borderId="8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4" fillId="24" borderId="56" xfId="0" applyNumberFormat="1" applyFont="1" applyFill="1" applyBorder="1" applyAlignment="1">
      <alignment horizontal="center" vertical="top"/>
    </xf>
    <xf numFmtId="49" fontId="4" fillId="24" borderId="17" xfId="0" applyNumberFormat="1" applyFont="1" applyFill="1" applyBorder="1" applyAlignment="1">
      <alignment horizontal="center" vertical="top"/>
    </xf>
    <xf numFmtId="49" fontId="4" fillId="24" borderId="13" xfId="0" applyNumberFormat="1" applyFont="1" applyFill="1" applyBorder="1" applyAlignment="1">
      <alignment horizontal="center" vertical="top"/>
    </xf>
    <xf numFmtId="0" fontId="8" fillId="0" borderId="62" xfId="0" applyFont="1" applyFill="1" applyBorder="1" applyAlignment="1">
      <alignment vertical="top" wrapText="1"/>
    </xf>
    <xf numFmtId="0" fontId="8" fillId="0" borderId="33" xfId="0" applyFont="1" applyFill="1" applyBorder="1" applyAlignment="1">
      <alignment vertical="top" wrapText="1"/>
    </xf>
    <xf numFmtId="0" fontId="8" fillId="0" borderId="67" xfId="0" applyFont="1" applyFill="1" applyBorder="1" applyAlignment="1">
      <alignment vertical="top" wrapText="1"/>
    </xf>
    <xf numFmtId="49" fontId="27" fillId="24" borderId="11" xfId="0" applyNumberFormat="1" applyFont="1" applyFill="1" applyBorder="1" applyAlignment="1">
      <alignment horizontal="center" vertical="center" textRotation="90" wrapText="1"/>
    </xf>
    <xf numFmtId="0" fontId="5" fillId="4" borderId="75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49" fontId="6" fillId="0" borderId="62" xfId="0" applyNumberFormat="1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 vertical="top"/>
    </xf>
    <xf numFmtId="49" fontId="6" fillId="0" borderId="67" xfId="0" applyNumberFormat="1" applyFont="1" applyFill="1" applyBorder="1" applyAlignment="1">
      <alignment horizontal="center" vertical="top"/>
    </xf>
    <xf numFmtId="188" fontId="6" fillId="16" borderId="71" xfId="0" applyNumberFormat="1" applyFont="1" applyFill="1" applyBorder="1" applyAlignment="1">
      <alignment horizontal="center" vertical="top" wrapText="1"/>
    </xf>
    <xf numFmtId="188" fontId="6" fillId="16" borderId="80" xfId="0" applyNumberFormat="1" applyFont="1" applyFill="1" applyBorder="1" applyAlignment="1">
      <alignment horizontal="center" vertical="top" wrapText="1"/>
    </xf>
    <xf numFmtId="188" fontId="6" fillId="16" borderId="79" xfId="0" applyNumberFormat="1" applyFont="1" applyFill="1" applyBorder="1" applyAlignment="1">
      <alignment horizontal="center" vertical="top" wrapText="1"/>
    </xf>
    <xf numFmtId="188" fontId="8" fillId="0" borderId="69" xfId="0" applyNumberFormat="1" applyFont="1" applyBorder="1" applyAlignment="1">
      <alignment horizontal="center" vertical="top" wrapText="1"/>
    </xf>
    <xf numFmtId="188" fontId="8" fillId="0" borderId="21" xfId="0" applyNumberFormat="1" applyFont="1" applyBorder="1" applyAlignment="1">
      <alignment horizontal="center" vertical="top" wrapText="1"/>
    </xf>
    <xf numFmtId="188" fontId="8" fillId="0" borderId="28" xfId="0" applyNumberFormat="1" applyFont="1" applyBorder="1" applyAlignment="1">
      <alignment horizontal="center" vertical="top" wrapText="1"/>
    </xf>
    <xf numFmtId="0" fontId="6" fillId="16" borderId="71" xfId="0" applyFont="1" applyFill="1" applyBorder="1" applyAlignment="1">
      <alignment horizontal="right" vertical="top" wrapText="1"/>
    </xf>
    <xf numFmtId="0" fontId="6" fillId="16" borderId="80" xfId="0" applyFont="1" applyFill="1" applyBorder="1" applyAlignment="1">
      <alignment horizontal="right" vertical="top" wrapText="1"/>
    </xf>
    <xf numFmtId="0" fontId="6" fillId="16" borderId="79" xfId="0" applyFont="1" applyFill="1" applyBorder="1" applyAlignment="1">
      <alignment horizontal="right" vertical="top" wrapText="1"/>
    </xf>
    <xf numFmtId="0" fontId="8" fillId="24" borderId="69" xfId="0" applyFont="1" applyFill="1" applyBorder="1" applyAlignment="1">
      <alignment horizontal="left" vertical="top" wrapText="1"/>
    </xf>
    <xf numFmtId="0" fontId="8" fillId="24" borderId="21" xfId="0" applyFont="1" applyFill="1" applyBorder="1" applyAlignment="1">
      <alignment horizontal="left" vertical="top" wrapText="1"/>
    </xf>
    <xf numFmtId="0" fontId="8" fillId="24" borderId="28" xfId="0" applyFont="1" applyFill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188" fontId="8" fillId="0" borderId="69" xfId="0" applyNumberFormat="1" applyFont="1" applyFill="1" applyBorder="1" applyAlignment="1">
      <alignment horizontal="center" vertical="top" wrapText="1"/>
    </xf>
    <xf numFmtId="188" fontId="8" fillId="0" borderId="21" xfId="0" applyNumberFormat="1" applyFont="1" applyFill="1" applyBorder="1" applyAlignment="1">
      <alignment horizontal="center" vertical="top" wrapText="1"/>
    </xf>
    <xf numFmtId="188" fontId="8" fillId="0" borderId="28" xfId="0" applyNumberFormat="1" applyFont="1" applyFill="1" applyBorder="1" applyAlignment="1">
      <alignment horizontal="center" vertical="top" wrapText="1"/>
    </xf>
    <xf numFmtId="188" fontId="6" fillId="25" borderId="69" xfId="0" applyNumberFormat="1" applyFont="1" applyFill="1" applyBorder="1" applyAlignment="1">
      <alignment horizontal="center" vertical="top" wrapText="1"/>
    </xf>
    <xf numFmtId="188" fontId="6" fillId="25" borderId="21" xfId="0" applyNumberFormat="1" applyFont="1" applyFill="1" applyBorder="1" applyAlignment="1">
      <alignment horizontal="center" vertical="top" wrapText="1"/>
    </xf>
    <xf numFmtId="188" fontId="6" fillId="25" borderId="28" xfId="0" applyNumberFormat="1" applyFont="1" applyFill="1" applyBorder="1" applyAlignment="1">
      <alignment horizontal="center" vertical="top" wrapText="1"/>
    </xf>
    <xf numFmtId="0" fontId="6" fillId="25" borderId="69" xfId="0" applyFont="1" applyFill="1" applyBorder="1" applyAlignment="1">
      <alignment horizontal="right" vertical="top" wrapText="1"/>
    </xf>
    <xf numFmtId="0" fontId="6" fillId="25" borderId="21" xfId="0" applyFont="1" applyFill="1" applyBorder="1" applyAlignment="1">
      <alignment horizontal="right" vertical="top" wrapText="1"/>
    </xf>
    <xf numFmtId="0" fontId="6" fillId="25" borderId="28" xfId="0" applyFont="1" applyFill="1" applyBorder="1" applyAlignment="1">
      <alignment horizontal="right" vertical="top" wrapText="1"/>
    </xf>
    <xf numFmtId="49" fontId="5" fillId="8" borderId="70" xfId="0" applyNumberFormat="1" applyFont="1" applyFill="1" applyBorder="1" applyAlignment="1">
      <alignment horizontal="right" vertical="top"/>
    </xf>
    <xf numFmtId="49" fontId="5" fillId="4" borderId="75" xfId="0" applyNumberFormat="1" applyFont="1" applyFill="1" applyBorder="1" applyAlignment="1">
      <alignment horizontal="right" vertical="top"/>
    </xf>
    <xf numFmtId="49" fontId="5" fillId="4" borderId="76" xfId="0" applyNumberFormat="1" applyFont="1" applyFill="1" applyBorder="1" applyAlignment="1">
      <alignment horizontal="right" vertical="top"/>
    </xf>
    <xf numFmtId="0" fontId="8" fillId="24" borderId="18" xfId="0" applyFont="1" applyFill="1" applyBorder="1" applyAlignment="1">
      <alignment horizontal="left" vertical="top" wrapText="1"/>
    </xf>
    <xf numFmtId="0" fontId="8" fillId="24" borderId="60" xfId="0" applyFont="1" applyFill="1" applyBorder="1" applyAlignment="1">
      <alignment horizontal="left" vertical="top" wrapText="1"/>
    </xf>
    <xf numFmtId="0" fontId="8" fillId="24" borderId="27" xfId="0" applyFont="1" applyFill="1" applyBorder="1" applyAlignment="1">
      <alignment horizontal="left" vertical="top" wrapText="1"/>
    </xf>
    <xf numFmtId="0" fontId="8" fillId="0" borderId="6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6" fillId="25" borderId="68" xfId="0" applyFont="1" applyFill="1" applyBorder="1" applyAlignment="1">
      <alignment horizontal="right" vertical="top" wrapText="1"/>
    </xf>
    <xf numFmtId="0" fontId="6" fillId="25" borderId="70" xfId="0" applyFont="1" applyFill="1" applyBorder="1" applyAlignment="1">
      <alignment horizontal="right" vertical="top" wrapText="1"/>
    </xf>
    <xf numFmtId="0" fontId="6" fillId="25" borderId="32" xfId="0" applyFont="1" applyFill="1" applyBorder="1" applyAlignment="1">
      <alignment horizontal="right" vertical="top" wrapText="1"/>
    </xf>
    <xf numFmtId="49" fontId="5" fillId="4" borderId="89" xfId="0" applyNumberFormat="1" applyFont="1" applyFill="1" applyBorder="1" applyAlignment="1">
      <alignment horizontal="center" vertical="top"/>
    </xf>
    <xf numFmtId="49" fontId="5" fillId="4" borderId="25" xfId="0" applyNumberFormat="1" applyFont="1" applyFill="1" applyBorder="1" applyAlignment="1">
      <alignment horizontal="center" vertical="top"/>
    </xf>
    <xf numFmtId="49" fontId="5" fillId="4" borderId="90" xfId="0" applyNumberFormat="1" applyFont="1" applyFill="1" applyBorder="1" applyAlignment="1">
      <alignment horizontal="center" vertical="top"/>
    </xf>
    <xf numFmtId="49" fontId="5" fillId="25" borderId="80" xfId="0" applyNumberFormat="1" applyFont="1" applyFill="1" applyBorder="1" applyAlignment="1">
      <alignment horizontal="right" vertical="top"/>
    </xf>
    <xf numFmtId="49" fontId="5" fillId="0" borderId="57" xfId="0" applyNumberFormat="1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center" vertical="top"/>
    </xf>
    <xf numFmtId="49" fontId="5" fillId="0" borderId="86" xfId="0" applyNumberFormat="1" applyFont="1" applyBorder="1" applyAlignment="1">
      <alignment horizontal="center" vertical="top"/>
    </xf>
    <xf numFmtId="49" fontId="4" fillId="0" borderId="5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17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0" fontId="27" fillId="0" borderId="50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33" xfId="52" applyFont="1" applyFill="1" applyBorder="1" applyAlignment="1">
      <alignment horizontal="left" vertical="top" wrapText="1"/>
      <protection/>
    </xf>
    <xf numFmtId="0" fontId="6" fillId="0" borderId="67" xfId="52" applyFont="1" applyFill="1" applyBorder="1" applyAlignment="1">
      <alignment horizontal="left" vertical="top" wrapText="1"/>
      <protection/>
    </xf>
    <xf numFmtId="49" fontId="6" fillId="0" borderId="62" xfId="0" applyNumberFormat="1" applyFont="1" applyFill="1" applyBorder="1" applyAlignment="1">
      <alignment horizontal="center" vertical="top"/>
    </xf>
    <xf numFmtId="49" fontId="6" fillId="0" borderId="33" xfId="0" applyNumberFormat="1" applyFont="1" applyFill="1" applyBorder="1" applyAlignment="1">
      <alignment horizontal="center" vertical="top"/>
    </xf>
    <xf numFmtId="49" fontId="6" fillId="0" borderId="67" xfId="0" applyNumberFormat="1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left" vertical="top" wrapText="1"/>
    </xf>
    <xf numFmtId="0" fontId="8" fillId="0" borderId="77" xfId="0" applyFont="1" applyFill="1" applyBorder="1" applyAlignment="1">
      <alignment horizontal="left" vertical="top" wrapText="1"/>
    </xf>
    <xf numFmtId="49" fontId="8" fillId="0" borderId="5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188" fontId="27" fillId="0" borderId="11" xfId="0" applyNumberFormat="1" applyFont="1" applyFill="1" applyBorder="1" applyAlignment="1">
      <alignment horizontal="center" vertical="top" textRotation="90" wrapText="1"/>
    </xf>
    <xf numFmtId="0" fontId="10" fillId="0" borderId="5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188" fontId="27" fillId="0" borderId="11" xfId="0" applyNumberFormat="1" applyFont="1" applyFill="1" applyBorder="1" applyAlignment="1">
      <alignment horizontal="center" vertical="top" wrapText="1"/>
    </xf>
    <xf numFmtId="49" fontId="8" fillId="0" borderId="24" xfId="0" applyNumberFormat="1" applyFont="1" applyFill="1" applyBorder="1" applyAlignment="1">
      <alignment horizontal="center" vertical="top"/>
    </xf>
    <xf numFmtId="49" fontId="5" fillId="24" borderId="57" xfId="0" applyNumberFormat="1" applyFont="1" applyFill="1" applyBorder="1" applyAlignment="1">
      <alignment horizontal="center" vertical="top"/>
    </xf>
    <xf numFmtId="49" fontId="5" fillId="24" borderId="51" xfId="0" applyNumberFormat="1" applyFont="1" applyFill="1" applyBorder="1" applyAlignment="1">
      <alignment horizontal="center" vertical="top"/>
    </xf>
    <xf numFmtId="49" fontId="5" fillId="24" borderId="86" xfId="0" applyNumberFormat="1" applyFont="1" applyFill="1" applyBorder="1" applyAlignment="1">
      <alignment horizontal="center" vertical="top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top"/>
    </xf>
    <xf numFmtId="188" fontId="27" fillId="0" borderId="91" xfId="0" applyNumberFormat="1" applyFont="1" applyFill="1" applyBorder="1" applyAlignment="1">
      <alignment horizontal="center" vertical="top" wrapText="1"/>
    </xf>
    <xf numFmtId="188" fontId="27" fillId="0" borderId="53" xfId="0" applyNumberFormat="1" applyFont="1" applyFill="1" applyBorder="1" applyAlignment="1">
      <alignment horizontal="center" vertical="top" wrapText="1"/>
    </xf>
    <xf numFmtId="49" fontId="6" fillId="0" borderId="62" xfId="0" applyNumberFormat="1" applyFont="1" applyFill="1" applyBorder="1" applyAlignment="1">
      <alignment horizontal="left" vertical="top" wrapText="1"/>
    </xf>
    <xf numFmtId="49" fontId="6" fillId="0" borderId="33" xfId="0" applyNumberFormat="1" applyFont="1" applyFill="1" applyBorder="1" applyAlignment="1">
      <alignment horizontal="left" vertical="top" wrapText="1"/>
    </xf>
    <xf numFmtId="49" fontId="6" fillId="0" borderId="67" xfId="0" applyNumberFormat="1" applyFont="1" applyFill="1" applyBorder="1" applyAlignment="1">
      <alignment horizontal="left" vertical="top" wrapText="1"/>
    </xf>
    <xf numFmtId="188" fontId="27" fillId="0" borderId="50" xfId="0" applyNumberFormat="1" applyFont="1" applyFill="1" applyBorder="1" applyAlignment="1">
      <alignment horizontal="center" vertical="top" wrapText="1"/>
    </xf>
    <xf numFmtId="188" fontId="27" fillId="0" borderId="12" xfId="0" applyNumberFormat="1" applyFont="1" applyFill="1" applyBorder="1" applyAlignment="1">
      <alignment horizontal="center" vertical="top" wrapText="1"/>
    </xf>
    <xf numFmtId="49" fontId="8" fillId="0" borderId="33" xfId="0" applyNumberFormat="1" applyFont="1" applyFill="1" applyBorder="1" applyAlignment="1">
      <alignment horizontal="left" vertical="top" wrapText="1"/>
    </xf>
    <xf numFmtId="49" fontId="6" fillId="0" borderId="45" xfId="0" applyNumberFormat="1" applyFont="1" applyFill="1" applyBorder="1" applyAlignment="1">
      <alignment horizontal="center" vertical="top"/>
    </xf>
    <xf numFmtId="49" fontId="6" fillId="0" borderId="51" xfId="0" applyNumberFormat="1" applyFont="1" applyFill="1" applyBorder="1" applyAlignment="1">
      <alignment horizontal="center" vertical="top"/>
    </xf>
    <xf numFmtId="49" fontId="6" fillId="0" borderId="47" xfId="0" applyNumberFormat="1" applyFont="1" applyFill="1" applyBorder="1" applyAlignment="1">
      <alignment horizontal="center" vertical="top"/>
    </xf>
    <xf numFmtId="49" fontId="6" fillId="0" borderId="57" xfId="0" applyNumberFormat="1" applyFont="1" applyFill="1" applyBorder="1" applyAlignment="1">
      <alignment horizontal="center" vertical="top"/>
    </xf>
    <xf numFmtId="49" fontId="6" fillId="0" borderId="86" xfId="0" applyNumberFormat="1" applyFont="1" applyFill="1" applyBorder="1" applyAlignment="1">
      <alignment horizontal="center" vertical="top"/>
    </xf>
    <xf numFmtId="0" fontId="9" fillId="25" borderId="69" xfId="0" applyFont="1" applyFill="1" applyBorder="1" applyAlignment="1">
      <alignment horizontal="left" vertical="top" wrapText="1"/>
    </xf>
    <xf numFmtId="0" fontId="9" fillId="25" borderId="21" xfId="0" applyFont="1" applyFill="1" applyBorder="1" applyAlignment="1">
      <alignment horizontal="left" vertical="top" wrapText="1"/>
    </xf>
    <xf numFmtId="0" fontId="9" fillId="25" borderId="28" xfId="0" applyFont="1" applyFill="1" applyBorder="1" applyAlignment="1">
      <alignment horizontal="left" vertical="top" wrapText="1"/>
    </xf>
    <xf numFmtId="49" fontId="6" fillId="4" borderId="72" xfId="0" applyNumberFormat="1" applyFont="1" applyFill="1" applyBorder="1" applyAlignment="1">
      <alignment horizontal="left" vertical="top"/>
    </xf>
    <xf numFmtId="49" fontId="6" fillId="4" borderId="80" xfId="0" applyNumberFormat="1" applyFont="1" applyFill="1" applyBorder="1" applyAlignment="1">
      <alignment horizontal="left" vertical="top"/>
    </xf>
    <xf numFmtId="49" fontId="6" fillId="4" borderId="79" xfId="0" applyNumberFormat="1" applyFont="1" applyFill="1" applyBorder="1" applyAlignment="1">
      <alignment horizontal="left" vertical="top"/>
    </xf>
    <xf numFmtId="49" fontId="6" fillId="8" borderId="20" xfId="0" applyNumberFormat="1" applyFont="1" applyFill="1" applyBorder="1" applyAlignment="1">
      <alignment horizontal="left" vertical="top"/>
    </xf>
    <xf numFmtId="49" fontId="6" fillId="8" borderId="21" xfId="0" applyNumberFormat="1" applyFont="1" applyFill="1" applyBorder="1" applyAlignment="1">
      <alignment horizontal="left" vertical="top"/>
    </xf>
    <xf numFmtId="49" fontId="6" fillId="8" borderId="28" xfId="0" applyNumberFormat="1" applyFont="1" applyFill="1" applyBorder="1" applyAlignment="1">
      <alignment horizontal="left" vertical="top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77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13" fillId="3" borderId="68" xfId="0" applyNumberFormat="1" applyFont="1" applyFill="1" applyBorder="1" applyAlignment="1">
      <alignment horizontal="left" vertical="top" wrapText="1"/>
    </xf>
    <xf numFmtId="49" fontId="13" fillId="3" borderId="70" xfId="0" applyNumberFormat="1" applyFont="1" applyFill="1" applyBorder="1" applyAlignment="1">
      <alignment horizontal="left" vertical="top" wrapText="1"/>
    </xf>
    <xf numFmtId="49" fontId="13" fillId="3" borderId="32" xfId="0" applyNumberFormat="1" applyFont="1" applyFill="1" applyBorder="1" applyAlignment="1">
      <alignment horizontal="left" vertical="top" wrapText="1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77" xfId="0" applyFont="1" applyBorder="1" applyAlignment="1">
      <alignment horizontal="center" vertical="center" textRotation="90" wrapText="1"/>
    </xf>
    <xf numFmtId="0" fontId="10" fillId="0" borderId="58" xfId="0" applyNumberFormat="1" applyFont="1" applyBorder="1" applyAlignment="1">
      <alignment horizontal="center" vertical="center" textRotation="90" wrapText="1"/>
    </xf>
    <xf numFmtId="0" fontId="10" fillId="0" borderId="52" xfId="0" applyNumberFormat="1" applyFont="1" applyBorder="1" applyAlignment="1">
      <alignment horizontal="center" vertical="center" textRotation="90" wrapText="1"/>
    </xf>
    <xf numFmtId="0" fontId="10" fillId="0" borderId="77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 wrapText="1"/>
    </xf>
    <xf numFmtId="0" fontId="10" fillId="0" borderId="55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5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textRotation="90" wrapText="1"/>
    </xf>
    <xf numFmtId="0" fontId="10" fillId="0" borderId="51" xfId="0" applyFont="1" applyBorder="1" applyAlignment="1">
      <alignment horizontal="center" vertical="center" textRotation="90" wrapText="1"/>
    </xf>
    <xf numFmtId="0" fontId="10" fillId="0" borderId="86" xfId="0" applyFont="1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 textRotation="90" wrapText="1"/>
    </xf>
    <xf numFmtId="0" fontId="10" fillId="0" borderId="86" xfId="0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49" fontId="5" fillId="0" borderId="57" xfId="0" applyNumberFormat="1" applyFont="1" applyFill="1" applyBorder="1" applyAlignment="1">
      <alignment horizontal="center" vertical="top"/>
    </xf>
    <xf numFmtId="49" fontId="5" fillId="0" borderId="51" xfId="0" applyNumberFormat="1" applyFont="1" applyFill="1" applyBorder="1" applyAlignment="1">
      <alignment horizontal="center" vertical="top"/>
    </xf>
    <xf numFmtId="49" fontId="5" fillId="0" borderId="86" xfId="0" applyNumberFormat="1" applyFont="1" applyFill="1" applyBorder="1" applyAlignment="1">
      <alignment horizontal="center" vertical="top"/>
    </xf>
    <xf numFmtId="0" fontId="50" fillId="0" borderId="62" xfId="0" applyFont="1" applyFill="1" applyBorder="1" applyAlignment="1">
      <alignment horizontal="left" vertical="top" wrapText="1"/>
    </xf>
    <xf numFmtId="0" fontId="50" fillId="0" borderId="33" xfId="0" applyFont="1" applyFill="1" applyBorder="1" applyAlignment="1">
      <alignment horizontal="left" vertical="top" wrapText="1"/>
    </xf>
    <xf numFmtId="0" fontId="50" fillId="0" borderId="67" xfId="0" applyFont="1" applyFill="1" applyBorder="1" applyAlignment="1">
      <alignment horizontal="left" vertical="top" wrapText="1"/>
    </xf>
    <xf numFmtId="188" fontId="27" fillId="0" borderId="89" xfId="0" applyNumberFormat="1" applyFont="1" applyFill="1" applyBorder="1" applyAlignment="1">
      <alignment horizontal="center" vertical="top" wrapText="1"/>
    </xf>
    <xf numFmtId="188" fontId="27" fillId="0" borderId="25" xfId="0" applyNumberFormat="1" applyFont="1" applyFill="1" applyBorder="1" applyAlignment="1">
      <alignment horizontal="center" vertical="top" wrapText="1"/>
    </xf>
    <xf numFmtId="49" fontId="5" fillId="0" borderId="57" xfId="0" applyNumberFormat="1" applyFont="1" applyFill="1" applyBorder="1" applyAlignment="1">
      <alignment horizontal="center" vertical="top"/>
    </xf>
    <xf numFmtId="49" fontId="5" fillId="0" borderId="51" xfId="0" applyNumberFormat="1" applyFont="1" applyFill="1" applyBorder="1" applyAlignment="1">
      <alignment horizontal="center" vertical="top"/>
    </xf>
    <xf numFmtId="49" fontId="5" fillId="0" borderId="86" xfId="0" applyNumberFormat="1" applyFont="1" applyFill="1" applyBorder="1" applyAlignment="1">
      <alignment horizontal="center" vertical="top"/>
    </xf>
    <xf numFmtId="49" fontId="5" fillId="8" borderId="55" xfId="0" applyNumberFormat="1" applyFont="1" applyFill="1" applyBorder="1" applyAlignment="1">
      <alignment horizontal="center" vertical="top" wrapText="1"/>
    </xf>
    <xf numFmtId="49" fontId="5" fillId="8" borderId="11" xfId="0" applyNumberFormat="1" applyFont="1" applyFill="1" applyBorder="1" applyAlignment="1">
      <alignment horizontal="center" vertical="top" wrapText="1"/>
    </xf>
    <xf numFmtId="49" fontId="5" fillId="8" borderId="12" xfId="0" applyNumberFormat="1" applyFont="1" applyFill="1" applyBorder="1" applyAlignment="1">
      <alignment horizontal="center" vertical="top" wrapText="1"/>
    </xf>
    <xf numFmtId="49" fontId="6" fillId="4" borderId="75" xfId="0" applyNumberFormat="1" applyFont="1" applyFill="1" applyBorder="1" applyAlignment="1">
      <alignment horizontal="left" vertical="top"/>
    </xf>
    <xf numFmtId="49" fontId="6" fillId="4" borderId="76" xfId="0" applyNumberFormat="1" applyFont="1" applyFill="1" applyBorder="1" applyAlignment="1">
      <alignment horizontal="left" vertical="top"/>
    </xf>
    <xf numFmtId="49" fontId="6" fillId="4" borderId="16" xfId="0" applyNumberFormat="1" applyFont="1" applyFill="1" applyBorder="1" applyAlignment="1">
      <alignment horizontal="left" vertical="top"/>
    </xf>
    <xf numFmtId="49" fontId="6" fillId="4" borderId="34" xfId="0" applyNumberFormat="1" applyFont="1" applyFill="1" applyBorder="1" applyAlignment="1">
      <alignment horizontal="left" vertical="top"/>
    </xf>
    <xf numFmtId="0" fontId="27" fillId="0" borderId="50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horizontal="center" wrapText="1"/>
    </xf>
    <xf numFmtId="49" fontId="5" fillId="8" borderId="55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12" xfId="0" applyNumberFormat="1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9" fontId="8" fillId="0" borderId="56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27" fillId="24" borderId="55" xfId="0" applyNumberFormat="1" applyFont="1" applyFill="1" applyBorder="1" applyAlignment="1">
      <alignment horizontal="center" vertical="center" textRotation="90" wrapText="1"/>
    </xf>
    <xf numFmtId="188" fontId="27" fillId="0" borderId="12" xfId="0" applyNumberFormat="1" applyFont="1" applyFill="1" applyBorder="1" applyAlignment="1">
      <alignment horizontal="center" vertical="top" textRotation="90" wrapText="1"/>
    </xf>
    <xf numFmtId="0" fontId="6" fillId="0" borderId="62" xfId="52" applyFont="1" applyFill="1" applyBorder="1" applyAlignment="1">
      <alignment vertical="top" wrapText="1"/>
      <protection/>
    </xf>
    <xf numFmtId="0" fontId="6" fillId="0" borderId="33" xfId="52" applyFont="1" applyFill="1" applyBorder="1" applyAlignment="1">
      <alignment vertical="top" wrapText="1"/>
      <protection/>
    </xf>
    <xf numFmtId="49" fontId="8" fillId="0" borderId="52" xfId="0" applyNumberFormat="1" applyFont="1" applyFill="1" applyBorder="1" applyAlignment="1">
      <alignment horizontal="left" vertical="top" wrapText="1"/>
    </xf>
    <xf numFmtId="49" fontId="8" fillId="0" borderId="77" xfId="0" applyNumberFormat="1" applyFont="1" applyFill="1" applyBorder="1" applyAlignment="1">
      <alignment horizontal="left" vertical="top" wrapText="1"/>
    </xf>
    <xf numFmtId="49" fontId="8" fillId="0" borderId="62" xfId="0" applyNumberFormat="1" applyFont="1" applyFill="1" applyBorder="1" applyAlignment="1">
      <alignment horizontal="left" vertical="top" wrapText="1"/>
    </xf>
    <xf numFmtId="49" fontId="8" fillId="0" borderId="67" xfId="0" applyNumberFormat="1" applyFont="1" applyFill="1" applyBorder="1" applyAlignment="1">
      <alignment horizontal="left" vertical="top" wrapText="1"/>
    </xf>
    <xf numFmtId="49" fontId="8" fillId="0" borderId="56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25" fillId="0" borderId="62" xfId="0" applyFont="1" applyFill="1" applyBorder="1" applyAlignment="1">
      <alignment horizontal="center" vertical="top"/>
    </xf>
    <xf numFmtId="0" fontId="25" fillId="0" borderId="33" xfId="0" applyFont="1" applyFill="1" applyBorder="1" applyAlignment="1">
      <alignment horizontal="center" vertical="top"/>
    </xf>
    <xf numFmtId="0" fontId="25" fillId="0" borderId="67" xfId="0" applyFont="1" applyFill="1" applyBorder="1" applyAlignment="1">
      <alignment horizontal="center" vertical="top"/>
    </xf>
    <xf numFmtId="188" fontId="6" fillId="0" borderId="62" xfId="0" applyNumberFormat="1" applyFont="1" applyFill="1" applyBorder="1" applyAlignment="1">
      <alignment horizontal="left" vertical="top" wrapText="1"/>
    </xf>
    <xf numFmtId="188" fontId="6" fillId="0" borderId="33" xfId="0" applyNumberFormat="1" applyFont="1" applyFill="1" applyBorder="1" applyAlignment="1">
      <alignment horizontal="left" vertical="top" wrapText="1"/>
    </xf>
    <xf numFmtId="188" fontId="6" fillId="0" borderId="67" xfId="0" applyNumberFormat="1" applyFont="1" applyFill="1" applyBorder="1" applyAlignment="1">
      <alignment horizontal="left" vertical="top" wrapText="1"/>
    </xf>
    <xf numFmtId="49" fontId="6" fillId="0" borderId="62" xfId="0" applyNumberFormat="1" applyFont="1" applyFill="1" applyBorder="1" applyAlignment="1">
      <alignment horizontal="left" vertical="top" wrapText="1"/>
    </xf>
    <xf numFmtId="49" fontId="6" fillId="0" borderId="33" xfId="0" applyNumberFormat="1" applyFont="1" applyFill="1" applyBorder="1" applyAlignment="1">
      <alignment horizontal="left" vertical="top" wrapText="1"/>
    </xf>
    <xf numFmtId="49" fontId="6" fillId="0" borderId="67" xfId="0" applyNumberFormat="1" applyFont="1" applyFill="1" applyBorder="1" applyAlignment="1">
      <alignment horizontal="left" vertical="top" wrapText="1"/>
    </xf>
    <xf numFmtId="188" fontId="27" fillId="0" borderId="50" xfId="0" applyNumberFormat="1" applyFont="1" applyFill="1" applyBorder="1" applyAlignment="1">
      <alignment horizontal="center" vertical="top" textRotation="90" wrapText="1"/>
    </xf>
    <xf numFmtId="188" fontId="10" fillId="0" borderId="11" xfId="0" applyNumberFormat="1" applyFont="1" applyFill="1" applyBorder="1" applyAlignment="1">
      <alignment horizontal="center" vertical="center" textRotation="90" wrapText="1"/>
    </xf>
    <xf numFmtId="188" fontId="10" fillId="0" borderId="12" xfId="0" applyNumberFormat="1" applyFont="1" applyFill="1" applyBorder="1" applyAlignment="1">
      <alignment horizontal="center" vertical="center" textRotation="90" wrapText="1"/>
    </xf>
    <xf numFmtId="49" fontId="50" fillId="0" borderId="58" xfId="0" applyNumberFormat="1" applyFont="1" applyFill="1" applyBorder="1" applyAlignment="1">
      <alignment horizontal="left" vertical="top" wrapText="1"/>
    </xf>
    <xf numFmtId="49" fontId="50" fillId="0" borderId="52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wrapText="1"/>
    </xf>
    <xf numFmtId="0" fontId="6" fillId="24" borderId="58" xfId="0" applyFont="1" applyFill="1" applyBorder="1" applyAlignment="1">
      <alignment horizontal="center" vertical="center" wrapText="1"/>
    </xf>
    <xf numFmtId="0" fontId="6" fillId="24" borderId="52" xfId="0" applyFont="1" applyFill="1" applyBorder="1" applyAlignment="1">
      <alignment horizontal="center" vertical="center" wrapText="1"/>
    </xf>
    <xf numFmtId="0" fontId="6" fillId="24" borderId="77" xfId="0" applyFont="1" applyFill="1" applyBorder="1" applyAlignment="1">
      <alignment horizontal="center" vertical="center" wrapText="1"/>
    </xf>
    <xf numFmtId="0" fontId="6" fillId="24" borderId="91" xfId="0" applyFont="1" applyFill="1" applyBorder="1" applyAlignment="1">
      <alignment horizontal="center" vertical="center" wrapText="1"/>
    </xf>
    <xf numFmtId="0" fontId="6" fillId="24" borderId="53" xfId="0" applyFont="1" applyFill="1" applyBorder="1" applyAlignment="1">
      <alignment horizontal="center" vertical="center" wrapText="1"/>
    </xf>
    <xf numFmtId="0" fontId="6" fillId="24" borderId="8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20" fillId="0" borderId="19" xfId="5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0" fillId="0" borderId="23" xfId="51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56" xfId="0" applyNumberFormat="1" applyFont="1" applyBorder="1" applyAlignment="1">
      <alignment horizontal="center" vertical="center" textRotation="90" wrapText="1"/>
    </xf>
    <xf numFmtId="0" fontId="10" fillId="0" borderId="17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Border="1" applyAlignment="1">
      <alignment horizontal="center" vertical="center" textRotation="90" wrapText="1"/>
    </xf>
    <xf numFmtId="0" fontId="10" fillId="0" borderId="6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67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77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textRotation="90" wrapText="1"/>
    </xf>
    <xf numFmtId="0" fontId="10" fillId="0" borderId="86" xfId="0" applyFont="1" applyFill="1" applyBorder="1" applyAlignment="1">
      <alignment horizontal="center" vertical="center" textRotation="90" wrapText="1"/>
    </xf>
    <xf numFmtId="0" fontId="10" fillId="0" borderId="83" xfId="0" applyFont="1" applyBorder="1" applyAlignment="1">
      <alignment horizontal="center" vertical="center" textRotation="90" wrapText="1"/>
    </xf>
    <xf numFmtId="0" fontId="10" fillId="0" borderId="90" xfId="0" applyFont="1" applyBorder="1" applyAlignment="1">
      <alignment horizontal="center" vertical="center" textRotation="90" wrapText="1"/>
    </xf>
    <xf numFmtId="0" fontId="10" fillId="0" borderId="44" xfId="0" applyFont="1" applyFill="1" applyBorder="1" applyAlignment="1">
      <alignment horizontal="center" vertical="center" textRotation="90" wrapText="1"/>
    </xf>
    <xf numFmtId="0" fontId="10" fillId="0" borderId="85" xfId="0" applyFont="1" applyFill="1" applyBorder="1" applyAlignment="1">
      <alignment horizontal="center" vertical="center" textRotation="90" wrapText="1"/>
    </xf>
    <xf numFmtId="49" fontId="13" fillId="3" borderId="68" xfId="0" applyNumberFormat="1" applyFont="1" applyFill="1" applyBorder="1" applyAlignment="1">
      <alignment horizontal="left" vertical="top" wrapText="1"/>
    </xf>
    <xf numFmtId="49" fontId="13" fillId="3" borderId="70" xfId="0" applyNumberFormat="1" applyFont="1" applyFill="1" applyBorder="1" applyAlignment="1">
      <alignment horizontal="left" vertical="top" wrapText="1"/>
    </xf>
    <xf numFmtId="49" fontId="13" fillId="3" borderId="32" xfId="0" applyNumberFormat="1" applyFont="1" applyFill="1" applyBorder="1" applyAlignment="1">
      <alignment horizontal="left" vertical="top" wrapText="1"/>
    </xf>
    <xf numFmtId="0" fontId="9" fillId="25" borderId="69" xfId="0" applyFont="1" applyFill="1" applyBorder="1" applyAlignment="1">
      <alignment horizontal="left" vertical="top" wrapText="1"/>
    </xf>
    <xf numFmtId="0" fontId="9" fillId="25" borderId="21" xfId="0" applyFont="1" applyFill="1" applyBorder="1" applyAlignment="1">
      <alignment horizontal="left" vertical="top" wrapText="1"/>
    </xf>
    <xf numFmtId="0" fontId="9" fillId="25" borderId="28" xfId="0" applyFont="1" applyFill="1" applyBorder="1" applyAlignment="1">
      <alignment horizontal="left" vertical="top" wrapText="1"/>
    </xf>
    <xf numFmtId="49" fontId="5" fillId="8" borderId="14" xfId="0" applyNumberFormat="1" applyFont="1" applyFill="1" applyBorder="1" applyAlignment="1">
      <alignment horizontal="center" vertical="top"/>
    </xf>
    <xf numFmtId="49" fontId="5" fillId="4" borderId="15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6" fillId="0" borderId="75" xfId="0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34" xfId="0" applyNumberFormat="1" applyFont="1" applyFill="1" applyBorder="1" applyAlignment="1">
      <alignment horizontal="center" vertical="top"/>
    </xf>
    <xf numFmtId="188" fontId="5" fillId="0" borderId="50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17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49" fontId="5" fillId="0" borderId="56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0" fillId="0" borderId="56" xfId="0" applyNumberFormat="1" applyFont="1" applyFill="1" applyBorder="1" applyAlignment="1">
      <alignment horizontal="left" vertical="top" wrapText="1"/>
    </xf>
    <xf numFmtId="49" fontId="50" fillId="0" borderId="17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188" fontId="6" fillId="0" borderId="89" xfId="0" applyNumberFormat="1" applyFont="1" applyFill="1" applyBorder="1" applyAlignment="1">
      <alignment horizontal="center" vertical="top" wrapText="1"/>
    </xf>
    <xf numFmtId="188" fontId="6" fillId="0" borderId="25" xfId="0" applyNumberFormat="1" applyFont="1" applyFill="1" applyBorder="1" applyAlignment="1">
      <alignment horizontal="center" vertical="top" wrapText="1"/>
    </xf>
    <xf numFmtId="188" fontId="6" fillId="0" borderId="90" xfId="0" applyNumberFormat="1" applyFont="1" applyFill="1" applyBorder="1" applyAlignment="1">
      <alignment horizontal="center" vertical="top" wrapText="1"/>
    </xf>
    <xf numFmtId="49" fontId="8" fillId="0" borderId="36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8" fillId="0" borderId="26" xfId="0" applyNumberFormat="1" applyFont="1" applyFill="1" applyBorder="1" applyAlignment="1">
      <alignment horizontal="center" vertical="top"/>
    </xf>
    <xf numFmtId="49" fontId="6" fillId="8" borderId="48" xfId="0" applyNumberFormat="1" applyFont="1" applyFill="1" applyBorder="1" applyAlignment="1">
      <alignment horizontal="left" vertical="top"/>
    </xf>
    <xf numFmtId="49" fontId="6" fillId="8" borderId="60" xfId="0" applyNumberFormat="1" applyFont="1" applyFill="1" applyBorder="1" applyAlignment="1">
      <alignment horizontal="left" vertical="top"/>
    </xf>
    <xf numFmtId="49" fontId="6" fillId="8" borderId="27" xfId="0" applyNumberFormat="1" applyFont="1" applyFill="1" applyBorder="1" applyAlignment="1">
      <alignment horizontal="left" vertical="top"/>
    </xf>
    <xf numFmtId="49" fontId="6" fillId="4" borderId="72" xfId="0" applyNumberFormat="1" applyFont="1" applyFill="1" applyBorder="1" applyAlignment="1">
      <alignment horizontal="left" vertical="top"/>
    </xf>
    <xf numFmtId="0" fontId="6" fillId="4" borderId="8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27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79" xfId="0" applyNumberFormat="1" applyFont="1" applyFill="1" applyBorder="1" applyAlignment="1">
      <alignment horizontal="center" vertical="top"/>
    </xf>
    <xf numFmtId="49" fontId="5" fillId="8" borderId="55" xfId="0" applyNumberFormat="1" applyFont="1" applyFill="1" applyBorder="1" applyAlignment="1">
      <alignment horizontal="center" vertical="top"/>
    </xf>
    <xf numFmtId="49" fontId="5" fillId="8" borderId="11" xfId="0" applyNumberFormat="1" applyFont="1" applyFill="1" applyBorder="1" applyAlignment="1">
      <alignment horizontal="center" vertical="top"/>
    </xf>
    <xf numFmtId="49" fontId="5" fillId="8" borderId="12" xfId="0" applyNumberFormat="1" applyFont="1" applyFill="1" applyBorder="1" applyAlignment="1">
      <alignment horizontal="center" vertical="top"/>
    </xf>
    <xf numFmtId="49" fontId="5" fillId="0" borderId="92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85" xfId="0" applyNumberFormat="1" applyFont="1" applyBorder="1" applyAlignment="1">
      <alignment horizontal="center" vertical="top"/>
    </xf>
    <xf numFmtId="49" fontId="6" fillId="0" borderId="92" xfId="0" applyNumberFormat="1" applyFont="1" applyFill="1" applyBorder="1" applyAlignment="1">
      <alignment horizontal="left" vertical="top" wrapText="1"/>
    </xf>
    <xf numFmtId="49" fontId="6" fillId="0" borderId="31" xfId="0" applyNumberFormat="1" applyFont="1" applyFill="1" applyBorder="1" applyAlignment="1">
      <alignment horizontal="left" vertical="top" wrapText="1"/>
    </xf>
    <xf numFmtId="49" fontId="6" fillId="0" borderId="85" xfId="0" applyNumberFormat="1" applyFont="1" applyFill="1" applyBorder="1" applyAlignment="1">
      <alignment horizontal="left" vertical="top" wrapText="1"/>
    </xf>
    <xf numFmtId="188" fontId="28" fillId="0" borderId="50" xfId="0" applyNumberFormat="1" applyFont="1" applyFill="1" applyBorder="1" applyAlignment="1">
      <alignment horizontal="center" vertical="center" textRotation="90" wrapText="1"/>
    </xf>
    <xf numFmtId="188" fontId="28" fillId="0" borderId="12" xfId="0" applyNumberFormat="1" applyFont="1" applyFill="1" applyBorder="1" applyAlignment="1">
      <alignment horizontal="center" vertical="center" textRotation="90" wrapText="1"/>
    </xf>
    <xf numFmtId="0" fontId="8" fillId="0" borderId="92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 wrapText="1"/>
    </xf>
    <xf numFmtId="0" fontId="6" fillId="0" borderId="85" xfId="0" applyFont="1" applyFill="1" applyBorder="1" applyAlignment="1">
      <alignment horizontal="left" vertical="top" wrapText="1"/>
    </xf>
    <xf numFmtId="188" fontId="6" fillId="0" borderId="55" xfId="0" applyNumberFormat="1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 vertical="top" wrapText="1"/>
    </xf>
    <xf numFmtId="188" fontId="6" fillId="0" borderId="12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5" fillId="11" borderId="84" xfId="0" applyNumberFormat="1" applyFont="1" applyFill="1" applyBorder="1" applyAlignment="1">
      <alignment horizontal="right" vertical="top"/>
    </xf>
    <xf numFmtId="49" fontId="5" fillId="11" borderId="16" xfId="0" applyNumberFormat="1" applyFont="1" applyFill="1" applyBorder="1" applyAlignment="1">
      <alignment horizontal="right" vertical="top"/>
    </xf>
    <xf numFmtId="49" fontId="5" fillId="11" borderId="67" xfId="0" applyNumberFormat="1" applyFont="1" applyFill="1" applyBorder="1" applyAlignment="1">
      <alignment horizontal="right" vertical="top"/>
    </xf>
    <xf numFmtId="49" fontId="5" fillId="8" borderId="35" xfId="0" applyNumberFormat="1" applyFont="1" applyFill="1" applyBorder="1" applyAlignment="1">
      <alignment horizontal="center" vertical="top"/>
    </xf>
    <xf numFmtId="49" fontId="5" fillId="8" borderId="30" xfId="0" applyNumberFormat="1" applyFont="1" applyFill="1" applyBorder="1" applyAlignment="1">
      <alignment horizontal="center" vertical="top"/>
    </xf>
    <xf numFmtId="49" fontId="5" fillId="4" borderId="36" xfId="0" applyNumberFormat="1" applyFont="1" applyFill="1" applyBorder="1" applyAlignment="1">
      <alignment horizontal="center" vertical="top"/>
    </xf>
    <xf numFmtId="49" fontId="5" fillId="4" borderId="26" xfId="0" applyNumberFormat="1" applyFont="1" applyFill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188" fontId="28" fillId="0" borderId="50" xfId="0" applyNumberFormat="1" applyFont="1" applyFill="1" applyBorder="1" applyAlignment="1">
      <alignment horizontal="center" vertical="top" textRotation="90" wrapText="1"/>
    </xf>
    <xf numFmtId="188" fontId="28" fillId="0" borderId="12" xfId="0" applyNumberFormat="1" applyFont="1" applyFill="1" applyBorder="1" applyAlignment="1">
      <alignment horizontal="center" vertical="top" textRotation="90" wrapText="1"/>
    </xf>
    <xf numFmtId="49" fontId="5" fillId="8" borderId="10" xfId="0" applyNumberFormat="1" applyFont="1" applyFill="1" applyBorder="1" applyAlignment="1">
      <alignment horizontal="center" vertical="top"/>
    </xf>
    <xf numFmtId="49" fontId="5" fillId="8" borderId="40" xfId="0" applyNumberFormat="1" applyFont="1" applyFill="1" applyBorder="1" applyAlignment="1">
      <alignment horizontal="center" vertical="top"/>
    </xf>
    <xf numFmtId="49" fontId="5" fillId="4" borderId="24" xfId="0" applyNumberFormat="1" applyFont="1" applyFill="1" applyBorder="1" applyAlignment="1">
      <alignment horizontal="center" vertical="top"/>
    </xf>
    <xf numFmtId="49" fontId="5" fillId="4" borderId="19" xfId="0" applyNumberFormat="1" applyFont="1" applyFill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6" fillId="0" borderId="31" xfId="0" applyFont="1" applyFill="1" applyBorder="1" applyAlignment="1">
      <alignment horizontal="left" vertical="top" wrapText="1"/>
    </xf>
    <xf numFmtId="188" fontId="6" fillId="0" borderId="10" xfId="0" applyNumberFormat="1" applyFont="1" applyFill="1" applyBorder="1" applyAlignment="1">
      <alignment horizontal="center" vertical="top" wrapText="1"/>
    </xf>
    <xf numFmtId="188" fontId="5" fillId="0" borderId="50" xfId="0" applyNumberFormat="1" applyFont="1" applyFill="1" applyBorder="1" applyAlignment="1">
      <alignment horizontal="center" vertical="top" textRotation="90" wrapText="1"/>
    </xf>
    <xf numFmtId="188" fontId="5" fillId="0" borderId="12" xfId="0" applyNumberFormat="1" applyFont="1" applyFill="1" applyBorder="1" applyAlignment="1">
      <alignment horizontal="center" vertical="top" textRotation="90" wrapText="1"/>
    </xf>
    <xf numFmtId="49" fontId="5" fillId="11" borderId="87" xfId="0" applyNumberFormat="1" applyFont="1" applyFill="1" applyBorder="1" applyAlignment="1">
      <alignment horizontal="right" vertical="top"/>
    </xf>
    <xf numFmtId="49" fontId="5" fillId="11" borderId="76" xfId="0" applyNumberFormat="1" applyFont="1" applyFill="1" applyBorder="1" applyAlignment="1">
      <alignment horizontal="right" vertical="top"/>
    </xf>
    <xf numFmtId="49" fontId="5" fillId="11" borderId="34" xfId="0" applyNumberFormat="1" applyFont="1" applyFill="1" applyBorder="1" applyAlignment="1">
      <alignment horizontal="right" vertical="top"/>
    </xf>
    <xf numFmtId="49" fontId="6" fillId="0" borderId="33" xfId="0" applyNumberFormat="1" applyFont="1" applyFill="1" applyBorder="1" applyAlignment="1">
      <alignment horizontal="left" vertical="top" wrapText="1"/>
    </xf>
    <xf numFmtId="49" fontId="6" fillId="0" borderId="67" xfId="0" applyNumberFormat="1" applyFont="1" applyFill="1" applyBorder="1" applyAlignment="1">
      <alignment horizontal="left" vertical="top" wrapText="1"/>
    </xf>
    <xf numFmtId="188" fontId="5" fillId="0" borderId="11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92" xfId="0" applyFont="1" applyFill="1" applyBorder="1" applyAlignment="1">
      <alignment horizontal="left" vertical="top" wrapText="1"/>
    </xf>
    <xf numFmtId="188" fontId="11" fillId="0" borderId="50" xfId="0" applyNumberFormat="1" applyFont="1" applyFill="1" applyBorder="1" applyAlignment="1">
      <alignment horizontal="center" vertical="top" textRotation="90" wrapText="1"/>
    </xf>
    <xf numFmtId="188" fontId="11" fillId="0" borderId="12" xfId="0" applyNumberFormat="1" applyFont="1" applyFill="1" applyBorder="1" applyAlignment="1">
      <alignment horizontal="center" vertical="top" textRotation="90" wrapText="1"/>
    </xf>
    <xf numFmtId="49" fontId="5" fillId="4" borderId="92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4" borderId="85" xfId="0" applyNumberFormat="1" applyFont="1" applyFill="1" applyBorder="1" applyAlignment="1">
      <alignment horizontal="center" vertical="top"/>
    </xf>
    <xf numFmtId="49" fontId="8" fillId="0" borderId="92" xfId="0" applyNumberFormat="1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left" vertical="top" wrapText="1"/>
    </xf>
    <xf numFmtId="49" fontId="8" fillId="0" borderId="85" xfId="0" applyNumberFormat="1" applyFont="1" applyFill="1" applyBorder="1" applyAlignment="1">
      <alignment horizontal="left" vertical="top" wrapText="1"/>
    </xf>
    <xf numFmtId="0" fontId="5" fillId="0" borderId="57" xfId="52" applyFont="1" applyFill="1" applyBorder="1" applyAlignment="1">
      <alignment vertical="top" wrapText="1"/>
      <protection/>
    </xf>
    <xf numFmtId="0" fontId="8" fillId="0" borderId="47" xfId="0" applyFont="1" applyFill="1" applyBorder="1" applyAlignment="1">
      <alignment vertical="top" wrapText="1"/>
    </xf>
    <xf numFmtId="188" fontId="6" fillId="0" borderId="50" xfId="0" applyNumberFormat="1" applyFont="1" applyFill="1" applyBorder="1" applyAlignment="1">
      <alignment horizontal="center" vertical="center" textRotation="90" wrapText="1"/>
    </xf>
    <xf numFmtId="188" fontId="6" fillId="0" borderId="11" xfId="0" applyNumberFormat="1" applyFont="1" applyFill="1" applyBorder="1" applyAlignment="1">
      <alignment horizontal="center" vertical="center" textRotation="90" wrapText="1"/>
    </xf>
    <xf numFmtId="188" fontId="6" fillId="0" borderId="12" xfId="0" applyNumberFormat="1" applyFont="1" applyFill="1" applyBorder="1" applyAlignment="1">
      <alignment horizontal="center" vertical="center" textRotation="90" wrapText="1"/>
    </xf>
    <xf numFmtId="0" fontId="5" fillId="0" borderId="45" xfId="52" applyFont="1" applyFill="1" applyBorder="1" applyAlignment="1">
      <alignment horizontal="left" vertical="top" wrapText="1"/>
      <protection/>
    </xf>
    <xf numFmtId="0" fontId="5" fillId="0" borderId="86" xfId="52" applyFont="1" applyFill="1" applyBorder="1" applyAlignment="1">
      <alignment horizontal="left" vertical="top" wrapText="1"/>
      <protection/>
    </xf>
    <xf numFmtId="49" fontId="8" fillId="0" borderId="37" xfId="0" applyNumberFormat="1" applyFont="1" applyFill="1" applyBorder="1" applyAlignment="1">
      <alignment horizontal="left" vertical="top" wrapText="1"/>
    </xf>
    <xf numFmtId="49" fontId="8" fillId="0" borderId="51" xfId="0" applyNumberFormat="1" applyFont="1" applyFill="1" applyBorder="1" applyAlignment="1">
      <alignment horizontal="left" vertical="top" wrapText="1"/>
    </xf>
    <xf numFmtId="49" fontId="8" fillId="0" borderId="81" xfId="0" applyNumberFormat="1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4" fillId="0" borderId="5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8" fillId="0" borderId="62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67" xfId="0" applyNumberFormat="1" applyFont="1" applyBorder="1" applyAlignment="1">
      <alignment horizontal="center" vertical="top"/>
    </xf>
    <xf numFmtId="49" fontId="5" fillId="0" borderId="36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0" fillId="0" borderId="57" xfId="0" applyFont="1" applyFill="1" applyBorder="1" applyAlignment="1">
      <alignment horizontal="left" vertical="top" wrapText="1"/>
    </xf>
    <xf numFmtId="0" fontId="50" fillId="0" borderId="51" xfId="0" applyFont="1" applyFill="1" applyBorder="1" applyAlignment="1">
      <alignment horizontal="left" vertical="top" wrapText="1"/>
    </xf>
    <xf numFmtId="0" fontId="50" fillId="0" borderId="86" xfId="0" applyFont="1" applyFill="1" applyBorder="1" applyAlignment="1">
      <alignment horizontal="left" vertical="top" wrapText="1"/>
    </xf>
    <xf numFmtId="49" fontId="8" fillId="0" borderId="36" xfId="0" applyNumberFormat="1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8" fillId="0" borderId="67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9" fontId="6" fillId="4" borderId="75" xfId="0" applyNumberFormat="1" applyFont="1" applyFill="1" applyBorder="1" applyAlignment="1">
      <alignment horizontal="right" vertical="top"/>
    </xf>
    <xf numFmtId="49" fontId="6" fillId="4" borderId="76" xfId="0" applyNumberFormat="1" applyFont="1" applyFill="1" applyBorder="1" applyAlignment="1">
      <alignment horizontal="right" vertical="top"/>
    </xf>
    <xf numFmtId="49" fontId="6" fillId="4" borderId="34" xfId="0" applyNumberFormat="1" applyFont="1" applyFill="1" applyBorder="1" applyAlignment="1">
      <alignment horizontal="right" vertical="top"/>
    </xf>
    <xf numFmtId="49" fontId="6" fillId="4" borderId="15" xfId="0" applyNumberFormat="1" applyFont="1" applyFill="1" applyBorder="1" applyAlignment="1">
      <alignment horizontal="left" vertical="top"/>
    </xf>
    <xf numFmtId="49" fontId="6" fillId="4" borderId="74" xfId="0" applyNumberFormat="1" applyFont="1" applyFill="1" applyBorder="1" applyAlignment="1">
      <alignment horizontal="left" vertical="top"/>
    </xf>
    <xf numFmtId="49" fontId="5" fillId="8" borderId="35" xfId="0" applyNumberFormat="1" applyFont="1" applyFill="1" applyBorder="1" applyAlignment="1">
      <alignment horizontal="center" vertical="top" wrapText="1"/>
    </xf>
    <xf numFmtId="49" fontId="5" fillId="8" borderId="50" xfId="0" applyNumberFormat="1" applyFont="1" applyFill="1" applyBorder="1" applyAlignment="1">
      <alignment horizontal="center" vertical="top" wrapText="1"/>
    </xf>
    <xf numFmtId="49" fontId="5" fillId="8" borderId="30" xfId="0" applyNumberFormat="1" applyFont="1" applyFill="1" applyBorder="1" applyAlignment="1">
      <alignment horizontal="center" vertical="top" wrapText="1"/>
    </xf>
    <xf numFmtId="49" fontId="5" fillId="4" borderId="23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188" fontId="6" fillId="0" borderId="37" xfId="0" applyNumberFormat="1" applyFont="1" applyFill="1" applyBorder="1" applyAlignment="1">
      <alignment horizontal="left" vertical="top" wrapText="1"/>
    </xf>
    <xf numFmtId="188" fontId="6" fillId="0" borderId="45" xfId="0" applyNumberFormat="1" applyFont="1" applyFill="1" applyBorder="1" applyAlignment="1">
      <alignment horizontal="left" vertical="top" wrapText="1"/>
    </xf>
    <xf numFmtId="188" fontId="6" fillId="0" borderId="81" xfId="0" applyNumberFormat="1" applyFont="1" applyFill="1" applyBorder="1" applyAlignment="1">
      <alignment horizontal="left" vertical="top" wrapText="1"/>
    </xf>
    <xf numFmtId="49" fontId="8" fillId="0" borderId="36" xfId="0" applyNumberFormat="1" applyFont="1" applyBorder="1" applyAlignment="1">
      <alignment horizontal="center" vertical="top" wrapText="1"/>
    </xf>
    <xf numFmtId="49" fontId="8" fillId="0" borderId="23" xfId="0" applyNumberFormat="1" applyFont="1" applyBorder="1" applyAlignment="1">
      <alignment horizontal="center" vertical="top" wrapText="1"/>
    </xf>
    <xf numFmtId="49" fontId="8" fillId="0" borderId="26" xfId="0" applyNumberFormat="1" applyFont="1" applyBorder="1" applyAlignment="1">
      <alignment horizontal="center" vertical="top" wrapText="1"/>
    </xf>
    <xf numFmtId="49" fontId="8" fillId="0" borderId="32" xfId="0" applyNumberFormat="1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7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49" fontId="6" fillId="0" borderId="45" xfId="0" applyNumberFormat="1" applyFont="1" applyFill="1" applyBorder="1" applyAlignment="1">
      <alignment horizontal="left" vertical="top" wrapText="1"/>
    </xf>
    <xf numFmtId="49" fontId="6" fillId="0" borderId="51" xfId="0" applyNumberFormat="1" applyFont="1" applyFill="1" applyBorder="1" applyAlignment="1">
      <alignment horizontal="left" vertical="top" wrapText="1"/>
    </xf>
    <xf numFmtId="49" fontId="6" fillId="0" borderId="86" xfId="0" applyNumberFormat="1" applyFont="1" applyFill="1" applyBorder="1" applyAlignment="1">
      <alignment horizontal="left" vertical="top" wrapText="1"/>
    </xf>
    <xf numFmtId="49" fontId="5" fillId="4" borderId="75" xfId="0" applyNumberFormat="1" applyFont="1" applyFill="1" applyBorder="1" applyAlignment="1">
      <alignment horizontal="right" vertical="top"/>
    </xf>
    <xf numFmtId="49" fontId="5" fillId="4" borderId="76" xfId="0" applyNumberFormat="1" applyFont="1" applyFill="1" applyBorder="1" applyAlignment="1">
      <alignment horizontal="right" vertical="top"/>
    </xf>
    <xf numFmtId="49" fontId="5" fillId="4" borderId="34" xfId="0" applyNumberFormat="1" applyFont="1" applyFill="1" applyBorder="1" applyAlignment="1">
      <alignment horizontal="right" vertical="top"/>
    </xf>
    <xf numFmtId="0" fontId="6" fillId="4" borderId="7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0" fontId="6" fillId="4" borderId="34" xfId="0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left" vertical="top" wrapText="1"/>
    </xf>
    <xf numFmtId="49" fontId="4" fillId="0" borderId="5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0" fontId="8" fillId="0" borderId="57" xfId="0" applyFont="1" applyFill="1" applyBorder="1" applyAlignment="1">
      <alignment horizontal="left" vertical="top" wrapText="1"/>
    </xf>
    <xf numFmtId="0" fontId="8" fillId="0" borderId="51" xfId="0" applyFont="1" applyFill="1" applyBorder="1" applyAlignment="1">
      <alignment horizontal="left" vertical="top" wrapText="1"/>
    </xf>
    <xf numFmtId="0" fontId="8" fillId="0" borderId="86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8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49" fontId="4" fillId="0" borderId="5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5" fillId="11" borderId="91" xfId="0" applyNumberFormat="1" applyFont="1" applyFill="1" applyBorder="1" applyAlignment="1">
      <alignment horizontal="right" vertical="top"/>
    </xf>
    <xf numFmtId="49" fontId="5" fillId="11" borderId="63" xfId="0" applyNumberFormat="1" applyFont="1" applyFill="1" applyBorder="1" applyAlignment="1">
      <alignment horizontal="right" vertical="top"/>
    </xf>
    <xf numFmtId="49" fontId="5" fillId="11" borderId="62" xfId="0" applyNumberFormat="1" applyFont="1" applyFill="1" applyBorder="1" applyAlignment="1">
      <alignment horizontal="right" vertical="top"/>
    </xf>
    <xf numFmtId="49" fontId="5" fillId="24" borderId="56" xfId="0" applyNumberFormat="1" applyFont="1" applyFill="1" applyBorder="1" applyAlignment="1">
      <alignment vertical="top"/>
    </xf>
    <xf numFmtId="49" fontId="5" fillId="24" borderId="17" xfId="0" applyNumberFormat="1" applyFont="1" applyFill="1" applyBorder="1" applyAlignment="1">
      <alignment vertical="top"/>
    </xf>
    <xf numFmtId="49" fontId="5" fillId="24" borderId="13" xfId="0" applyNumberFormat="1" applyFont="1" applyFill="1" applyBorder="1" applyAlignment="1">
      <alignment vertical="top"/>
    </xf>
    <xf numFmtId="49" fontId="6" fillId="0" borderId="37" xfId="0" applyNumberFormat="1" applyFont="1" applyFill="1" applyBorder="1" applyAlignment="1">
      <alignment horizontal="left" vertical="top" wrapText="1"/>
    </xf>
    <xf numFmtId="49" fontId="6" fillId="0" borderId="81" xfId="0" applyNumberFormat="1" applyFont="1" applyFill="1" applyBorder="1" applyAlignment="1">
      <alignment horizontal="left" vertical="top" wrapText="1"/>
    </xf>
    <xf numFmtId="49" fontId="11" fillId="24" borderId="55" xfId="0" applyNumberFormat="1" applyFont="1" applyFill="1" applyBorder="1" applyAlignment="1">
      <alignment horizontal="center" vertical="center"/>
    </xf>
    <xf numFmtId="49" fontId="11" fillId="24" borderId="11" xfId="0" applyNumberFormat="1" applyFont="1" applyFill="1" applyBorder="1" applyAlignment="1">
      <alignment horizontal="center" vertical="center"/>
    </xf>
    <xf numFmtId="49" fontId="11" fillId="24" borderId="12" xfId="0" applyNumberFormat="1" applyFont="1" applyFill="1" applyBorder="1" applyAlignment="1">
      <alignment horizontal="center" vertical="center"/>
    </xf>
    <xf numFmtId="49" fontId="4" fillId="24" borderId="56" xfId="0" applyNumberFormat="1" applyFont="1" applyFill="1" applyBorder="1" applyAlignment="1">
      <alignment horizontal="center" vertical="top"/>
    </xf>
    <xf numFmtId="49" fontId="4" fillId="24" borderId="17" xfId="0" applyNumberFormat="1" applyFont="1" applyFill="1" applyBorder="1" applyAlignment="1">
      <alignment horizontal="center" vertical="top"/>
    </xf>
    <xf numFmtId="49" fontId="4" fillId="24" borderId="13" xfId="0" applyNumberFormat="1" applyFont="1" applyFill="1" applyBorder="1" applyAlignment="1">
      <alignment horizontal="center" vertical="top"/>
    </xf>
    <xf numFmtId="49" fontId="8" fillId="0" borderId="63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5" fillId="4" borderId="75" xfId="0" applyFont="1" applyFill="1" applyBorder="1" applyAlignment="1">
      <alignment horizontal="left" vertical="top" wrapText="1"/>
    </xf>
    <xf numFmtId="0" fontId="5" fillId="4" borderId="76" xfId="0" applyFont="1" applyFill="1" applyBorder="1" applyAlignment="1">
      <alignment horizontal="left" vertical="top" wrapText="1"/>
    </xf>
    <xf numFmtId="0" fontId="8" fillId="0" borderId="76" xfId="0" applyFont="1" applyBorder="1" applyAlignment="1">
      <alignment/>
    </xf>
    <xf numFmtId="49" fontId="5" fillId="8" borderId="50" xfId="0" applyNumberFormat="1" applyFont="1" applyFill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0" fontId="8" fillId="0" borderId="45" xfId="0" applyFont="1" applyFill="1" applyBorder="1" applyAlignment="1">
      <alignment horizontal="left" vertical="top" wrapText="1"/>
    </xf>
    <xf numFmtId="0" fontId="6" fillId="24" borderId="57" xfId="0" applyFont="1" applyFill="1" applyBorder="1" applyAlignment="1">
      <alignment horizontal="left" vertical="top" wrapText="1"/>
    </xf>
    <xf numFmtId="0" fontId="6" fillId="24" borderId="51" xfId="0" applyFont="1" applyFill="1" applyBorder="1" applyAlignment="1">
      <alignment horizontal="left" vertical="top" wrapText="1"/>
    </xf>
    <xf numFmtId="0" fontId="6" fillId="24" borderId="86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86" xfId="0" applyFont="1" applyFill="1" applyBorder="1" applyAlignment="1">
      <alignment horizontal="left" vertical="top" wrapText="1"/>
    </xf>
    <xf numFmtId="49" fontId="5" fillId="24" borderId="56" xfId="0" applyNumberFormat="1" applyFont="1" applyFill="1" applyBorder="1" applyAlignment="1">
      <alignment horizontal="center" vertical="top"/>
    </xf>
    <xf numFmtId="49" fontId="5" fillId="24" borderId="17" xfId="0" applyNumberFormat="1" applyFont="1" applyFill="1" applyBorder="1" applyAlignment="1">
      <alignment horizontal="center" vertical="top"/>
    </xf>
    <xf numFmtId="49" fontId="5" fillId="24" borderId="13" xfId="0" applyNumberFormat="1" applyFont="1" applyFill="1" applyBorder="1" applyAlignment="1">
      <alignment horizontal="center" vertical="top"/>
    </xf>
    <xf numFmtId="49" fontId="8" fillId="0" borderId="47" xfId="0" applyNumberFormat="1" applyFont="1" applyFill="1" applyBorder="1" applyAlignment="1">
      <alignment horizontal="left" vertical="top" wrapText="1"/>
    </xf>
    <xf numFmtId="49" fontId="8" fillId="0" borderId="41" xfId="0" applyNumberFormat="1" applyFont="1" applyFill="1" applyBorder="1" applyAlignment="1">
      <alignment horizontal="left" vertical="top" wrapText="1"/>
    </xf>
    <xf numFmtId="49" fontId="11" fillId="24" borderId="55" xfId="0" applyNumberFormat="1" applyFont="1" applyFill="1" applyBorder="1" applyAlignment="1">
      <alignment horizontal="center" vertical="center" textRotation="90" wrapText="1"/>
    </xf>
    <xf numFmtId="49" fontId="11" fillId="24" borderId="11" xfId="0" applyNumberFormat="1" applyFont="1" applyFill="1" applyBorder="1" applyAlignment="1">
      <alignment horizontal="center" vertical="center" textRotation="90" wrapText="1"/>
    </xf>
    <xf numFmtId="49" fontId="11" fillId="24" borderId="12" xfId="0" applyNumberFormat="1" applyFont="1" applyFill="1" applyBorder="1" applyAlignment="1">
      <alignment horizontal="center" vertical="center" textRotation="90" wrapText="1"/>
    </xf>
    <xf numFmtId="0" fontId="8" fillId="0" borderId="57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top" wrapText="1"/>
    </xf>
    <xf numFmtId="0" fontId="8" fillId="0" borderId="86" xfId="0" applyFont="1" applyFill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left" vertical="top" wrapText="1"/>
    </xf>
    <xf numFmtId="49" fontId="5" fillId="4" borderId="38" xfId="0" applyNumberFormat="1" applyFont="1" applyFill="1" applyBorder="1" applyAlignment="1">
      <alignment horizontal="right" vertical="top"/>
    </xf>
    <xf numFmtId="49" fontId="5" fillId="4" borderId="70" xfId="0" applyNumberFormat="1" applyFont="1" applyFill="1" applyBorder="1" applyAlignment="1">
      <alignment horizontal="right" vertical="top"/>
    </xf>
    <xf numFmtId="49" fontId="5" fillId="4" borderId="32" xfId="0" applyNumberFormat="1" applyFont="1" applyFill="1" applyBorder="1" applyAlignment="1">
      <alignment horizontal="right" vertical="top"/>
    </xf>
    <xf numFmtId="49" fontId="5" fillId="8" borderId="48" xfId="0" applyNumberFormat="1" applyFont="1" applyFill="1" applyBorder="1" applyAlignment="1">
      <alignment horizontal="right" vertical="top"/>
    </xf>
    <xf numFmtId="49" fontId="5" fillId="8" borderId="60" xfId="0" applyNumberFormat="1" applyFont="1" applyFill="1" applyBorder="1" applyAlignment="1">
      <alignment horizontal="right" vertical="top"/>
    </xf>
    <xf numFmtId="49" fontId="5" fillId="8" borderId="27" xfId="0" applyNumberFormat="1" applyFont="1" applyFill="1" applyBorder="1" applyAlignment="1">
      <alignment horizontal="right" vertical="top"/>
    </xf>
    <xf numFmtId="49" fontId="5" fillId="25" borderId="85" xfId="0" applyNumberFormat="1" applyFont="1" applyFill="1" applyBorder="1" applyAlignment="1">
      <alignment horizontal="right" vertical="top"/>
    </xf>
    <xf numFmtId="49" fontId="5" fillId="25" borderId="16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right" vertical="top" wrapText="1"/>
    </xf>
    <xf numFmtId="0" fontId="6" fillId="0" borderId="8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5" borderId="68" xfId="0" applyFont="1" applyFill="1" applyBorder="1" applyAlignment="1">
      <alignment horizontal="right" vertical="top" wrapText="1"/>
    </xf>
    <xf numFmtId="0" fontId="6" fillId="25" borderId="70" xfId="0" applyFont="1" applyFill="1" applyBorder="1" applyAlignment="1">
      <alignment horizontal="right" vertical="top" wrapText="1"/>
    </xf>
    <xf numFmtId="0" fontId="6" fillId="25" borderId="32" xfId="0" applyFont="1" applyFill="1" applyBorder="1" applyAlignment="1">
      <alignment horizontal="right" vertical="top" wrapText="1"/>
    </xf>
    <xf numFmtId="188" fontId="6" fillId="25" borderId="68" xfId="0" applyNumberFormat="1" applyFont="1" applyFill="1" applyBorder="1" applyAlignment="1">
      <alignment horizontal="center" vertical="top" wrapText="1"/>
    </xf>
    <xf numFmtId="188" fontId="6" fillId="25" borderId="70" xfId="0" applyNumberFormat="1" applyFont="1" applyFill="1" applyBorder="1" applyAlignment="1">
      <alignment horizontal="center" vertical="top" wrapText="1"/>
    </xf>
    <xf numFmtId="188" fontId="6" fillId="25" borderId="32" xfId="0" applyNumberFormat="1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188" fontId="8" fillId="0" borderId="18" xfId="0" applyNumberFormat="1" applyFont="1" applyBorder="1" applyAlignment="1">
      <alignment horizontal="center" vertical="top" wrapText="1"/>
    </xf>
    <xf numFmtId="188" fontId="8" fillId="0" borderId="60" xfId="0" applyNumberFormat="1" applyFont="1" applyBorder="1" applyAlignment="1">
      <alignment horizontal="center" vertical="top" wrapText="1"/>
    </xf>
    <xf numFmtId="188" fontId="8" fillId="0" borderId="27" xfId="0" applyNumberFormat="1" applyFont="1" applyBorder="1" applyAlignment="1">
      <alignment horizontal="center" vertical="top" wrapText="1"/>
    </xf>
    <xf numFmtId="0" fontId="8" fillId="0" borderId="6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188" fontId="8" fillId="0" borderId="69" xfId="0" applyNumberFormat="1" applyFont="1" applyBorder="1" applyAlignment="1">
      <alignment horizontal="center" vertical="top" wrapText="1"/>
    </xf>
    <xf numFmtId="188" fontId="8" fillId="0" borderId="21" xfId="0" applyNumberFormat="1" applyFont="1" applyBorder="1" applyAlignment="1">
      <alignment horizontal="center" vertical="top" wrapText="1"/>
    </xf>
    <xf numFmtId="188" fontId="8" fillId="0" borderId="28" xfId="0" applyNumberFormat="1" applyFont="1" applyBorder="1" applyAlignment="1">
      <alignment horizontal="center" vertical="top" wrapText="1"/>
    </xf>
    <xf numFmtId="0" fontId="8" fillId="0" borderId="69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188" fontId="8" fillId="0" borderId="69" xfId="0" applyNumberFormat="1" applyFont="1" applyFill="1" applyBorder="1" applyAlignment="1">
      <alignment horizontal="center" vertical="top" wrapText="1"/>
    </xf>
    <xf numFmtId="188" fontId="8" fillId="0" borderId="21" xfId="0" applyNumberFormat="1" applyFont="1" applyFill="1" applyBorder="1" applyAlignment="1">
      <alignment horizontal="center" vertical="top" wrapText="1"/>
    </xf>
    <xf numFmtId="188" fontId="8" fillId="0" borderId="28" xfId="0" applyNumberFormat="1" applyFont="1" applyFill="1" applyBorder="1" applyAlignment="1">
      <alignment horizontal="center" vertical="top" wrapText="1"/>
    </xf>
    <xf numFmtId="0" fontId="6" fillId="25" borderId="69" xfId="0" applyFont="1" applyFill="1" applyBorder="1" applyAlignment="1">
      <alignment horizontal="right" vertical="top" wrapText="1"/>
    </xf>
    <xf numFmtId="0" fontId="6" fillId="25" borderId="21" xfId="0" applyFont="1" applyFill="1" applyBorder="1" applyAlignment="1">
      <alignment horizontal="right" vertical="top" wrapText="1"/>
    </xf>
    <xf numFmtId="0" fontId="6" fillId="25" borderId="28" xfId="0" applyFont="1" applyFill="1" applyBorder="1" applyAlignment="1">
      <alignment horizontal="right" vertical="top" wrapText="1"/>
    </xf>
    <xf numFmtId="188" fontId="6" fillId="25" borderId="69" xfId="0" applyNumberFormat="1" applyFont="1" applyFill="1" applyBorder="1" applyAlignment="1">
      <alignment horizontal="center" vertical="top" wrapText="1"/>
    </xf>
    <xf numFmtId="188" fontId="6" fillId="25" borderId="21" xfId="0" applyNumberFormat="1" applyFont="1" applyFill="1" applyBorder="1" applyAlignment="1">
      <alignment horizontal="center" vertical="top" wrapText="1"/>
    </xf>
    <xf numFmtId="188" fontId="6" fillId="25" borderId="28" xfId="0" applyNumberFormat="1" applyFont="1" applyFill="1" applyBorder="1" applyAlignment="1">
      <alignment horizontal="center" vertical="top" wrapText="1"/>
    </xf>
    <xf numFmtId="0" fontId="8" fillId="24" borderId="18" xfId="0" applyFont="1" applyFill="1" applyBorder="1" applyAlignment="1">
      <alignment horizontal="left" vertical="top" wrapText="1"/>
    </xf>
    <xf numFmtId="0" fontId="8" fillId="24" borderId="60" xfId="0" applyFont="1" applyFill="1" applyBorder="1" applyAlignment="1">
      <alignment horizontal="left" vertical="top" wrapText="1"/>
    </xf>
    <xf numFmtId="0" fontId="8" fillId="24" borderId="27" xfId="0" applyFont="1" applyFill="1" applyBorder="1" applyAlignment="1">
      <alignment horizontal="left" vertical="top" wrapText="1"/>
    </xf>
    <xf numFmtId="0" fontId="8" fillId="24" borderId="69" xfId="0" applyFont="1" applyFill="1" applyBorder="1" applyAlignment="1">
      <alignment horizontal="left" vertical="top" wrapText="1"/>
    </xf>
    <xf numFmtId="0" fontId="8" fillId="24" borderId="21" xfId="0" applyFont="1" applyFill="1" applyBorder="1" applyAlignment="1">
      <alignment horizontal="left" vertical="top" wrapText="1"/>
    </xf>
    <xf numFmtId="0" fontId="8" fillId="24" borderId="28" xfId="0" applyFont="1" applyFill="1" applyBorder="1" applyAlignment="1">
      <alignment horizontal="left" vertical="top" wrapText="1"/>
    </xf>
    <xf numFmtId="0" fontId="6" fillId="16" borderId="71" xfId="0" applyFont="1" applyFill="1" applyBorder="1" applyAlignment="1">
      <alignment horizontal="right" vertical="top" wrapText="1"/>
    </xf>
    <xf numFmtId="0" fontId="6" fillId="16" borderId="80" xfId="0" applyFont="1" applyFill="1" applyBorder="1" applyAlignment="1">
      <alignment horizontal="right" vertical="top" wrapText="1"/>
    </xf>
    <xf numFmtId="0" fontId="6" fillId="16" borderId="79" xfId="0" applyFont="1" applyFill="1" applyBorder="1" applyAlignment="1">
      <alignment horizontal="right" vertical="top" wrapText="1"/>
    </xf>
    <xf numFmtId="188" fontId="6" fillId="16" borderId="71" xfId="0" applyNumberFormat="1" applyFont="1" applyFill="1" applyBorder="1" applyAlignment="1">
      <alignment horizontal="center" vertical="top" wrapText="1"/>
    </xf>
    <xf numFmtId="188" fontId="6" fillId="16" borderId="80" xfId="0" applyNumberFormat="1" applyFont="1" applyFill="1" applyBorder="1" applyAlignment="1">
      <alignment horizontal="center" vertical="top" wrapText="1"/>
    </xf>
    <xf numFmtId="188" fontId="6" fillId="16" borderId="79" xfId="0" applyNumberFormat="1" applyFont="1" applyFill="1" applyBorder="1" applyAlignment="1">
      <alignment horizontal="center" vertical="top" wrapText="1"/>
    </xf>
    <xf numFmtId="0" fontId="50" fillId="0" borderId="75" xfId="0" applyFont="1" applyFill="1" applyBorder="1" applyAlignment="1">
      <alignment horizontal="left" vertical="top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prastas 2" xfId="46"/>
    <cellStyle name="Įspėjimo tekstas" xfId="47"/>
    <cellStyle name="Išvestis" xfId="48"/>
    <cellStyle name="Įvestis" xfId="49"/>
    <cellStyle name="Neutralus" xfId="50"/>
    <cellStyle name="Normal_biudz uz 2001 atskaitomybe3" xfId="51"/>
    <cellStyle name="Normal_sam_pried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="89" zoomScaleNormal="89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78" customWidth="1"/>
    <col min="2" max="3" width="2.421875" style="78" customWidth="1"/>
    <col min="4" max="4" width="60.7109375" style="78" customWidth="1"/>
    <col min="5" max="5" width="2.7109375" style="487" customWidth="1"/>
    <col min="6" max="6" width="2.7109375" style="90" customWidth="1"/>
    <col min="7" max="7" width="2.7109375" style="78" customWidth="1"/>
    <col min="8" max="8" width="7.7109375" style="90" customWidth="1"/>
    <col min="9" max="22" width="7.7109375" style="78" customWidth="1"/>
    <col min="23" max="16384" width="9.140625" style="78" customWidth="1"/>
  </cols>
  <sheetData>
    <row r="1" ht="12.75">
      <c r="V1" s="358" t="s">
        <v>226</v>
      </c>
    </row>
    <row r="2" spans="1:22" ht="26.25" customHeight="1">
      <c r="A2" s="970" t="s">
        <v>227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</row>
    <row r="3" spans="1:22" ht="15" customHeight="1">
      <c r="A3" s="970" t="s">
        <v>192</v>
      </c>
      <c r="B3" s="970"/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</row>
    <row r="4" spans="1:22" ht="15" customHeight="1" thickBot="1">
      <c r="A4" s="1"/>
      <c r="B4" s="1"/>
      <c r="C4" s="1"/>
      <c r="D4" s="92"/>
      <c r="E4" s="488"/>
      <c r="F4" s="28"/>
      <c r="G4" s="1"/>
      <c r="H4" s="14"/>
      <c r="I4" s="85"/>
      <c r="J4" s="85"/>
      <c r="K4" s="85"/>
      <c r="L4" s="85"/>
      <c r="M4" s="1"/>
      <c r="N4" s="1"/>
      <c r="O4" s="1"/>
      <c r="P4" s="1"/>
      <c r="Q4" s="1"/>
      <c r="R4" s="1"/>
      <c r="S4" s="1"/>
      <c r="T4" s="1"/>
      <c r="U4" s="1"/>
      <c r="V4" s="308" t="s">
        <v>32</v>
      </c>
    </row>
    <row r="5" spans="1:22" s="77" customFormat="1" ht="36.75" customHeight="1">
      <c r="A5" s="971" t="s">
        <v>0</v>
      </c>
      <c r="B5" s="973" t="s">
        <v>1</v>
      </c>
      <c r="C5" s="973" t="s">
        <v>2</v>
      </c>
      <c r="D5" s="976" t="s">
        <v>47</v>
      </c>
      <c r="E5" s="927" t="s">
        <v>3</v>
      </c>
      <c r="F5" s="979" t="s">
        <v>129</v>
      </c>
      <c r="G5" s="967" t="s">
        <v>4</v>
      </c>
      <c r="H5" s="953" t="s">
        <v>5</v>
      </c>
      <c r="I5" s="959" t="s">
        <v>148</v>
      </c>
      <c r="J5" s="957"/>
      <c r="K5" s="957"/>
      <c r="L5" s="960"/>
      <c r="M5" s="959" t="s">
        <v>177</v>
      </c>
      <c r="N5" s="957"/>
      <c r="O5" s="957"/>
      <c r="P5" s="960"/>
      <c r="Q5" s="956" t="s">
        <v>155</v>
      </c>
      <c r="R5" s="957"/>
      <c r="S5" s="957"/>
      <c r="T5" s="958"/>
      <c r="U5" s="964" t="s">
        <v>164</v>
      </c>
      <c r="V5" s="964" t="s">
        <v>165</v>
      </c>
    </row>
    <row r="6" spans="1:22" s="77" customFormat="1" ht="15" customHeight="1">
      <c r="A6" s="972"/>
      <c r="B6" s="974"/>
      <c r="C6" s="974"/>
      <c r="D6" s="977"/>
      <c r="E6" s="928"/>
      <c r="F6" s="980"/>
      <c r="G6" s="968"/>
      <c r="H6" s="954"/>
      <c r="I6" s="920" t="s">
        <v>6</v>
      </c>
      <c r="J6" s="907" t="s">
        <v>7</v>
      </c>
      <c r="K6" s="908"/>
      <c r="L6" s="982" t="s">
        <v>125</v>
      </c>
      <c r="M6" s="920" t="s">
        <v>6</v>
      </c>
      <c r="N6" s="907" t="s">
        <v>7</v>
      </c>
      <c r="O6" s="908"/>
      <c r="P6" s="982" t="s">
        <v>125</v>
      </c>
      <c r="Q6" s="920" t="s">
        <v>6</v>
      </c>
      <c r="R6" s="907" t="s">
        <v>7</v>
      </c>
      <c r="S6" s="908"/>
      <c r="T6" s="982" t="s">
        <v>125</v>
      </c>
      <c r="U6" s="965"/>
      <c r="V6" s="965"/>
    </row>
    <row r="7" spans="1:22" s="77" customFormat="1" ht="88.5" customHeight="1" thickBot="1">
      <c r="A7" s="921"/>
      <c r="B7" s="975"/>
      <c r="C7" s="975"/>
      <c r="D7" s="978"/>
      <c r="E7" s="929"/>
      <c r="F7" s="981"/>
      <c r="G7" s="969"/>
      <c r="H7" s="955"/>
      <c r="I7" s="921"/>
      <c r="J7" s="83" t="s">
        <v>6</v>
      </c>
      <c r="K7" s="84" t="s">
        <v>126</v>
      </c>
      <c r="L7" s="983"/>
      <c r="M7" s="921"/>
      <c r="N7" s="83" t="s">
        <v>6</v>
      </c>
      <c r="O7" s="84" t="s">
        <v>126</v>
      </c>
      <c r="P7" s="983"/>
      <c r="Q7" s="921"/>
      <c r="R7" s="83" t="s">
        <v>6</v>
      </c>
      <c r="S7" s="84" t="s">
        <v>126</v>
      </c>
      <c r="T7" s="983"/>
      <c r="U7" s="966"/>
      <c r="V7" s="966"/>
    </row>
    <row r="8" spans="1:22" ht="15.75" customHeight="1">
      <c r="A8" s="961" t="s">
        <v>115</v>
      </c>
      <c r="B8" s="962"/>
      <c r="C8" s="962"/>
      <c r="D8" s="962"/>
      <c r="E8" s="962"/>
      <c r="F8" s="962"/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2"/>
      <c r="R8" s="962"/>
      <c r="S8" s="962"/>
      <c r="T8" s="962"/>
      <c r="U8" s="962"/>
      <c r="V8" s="963"/>
    </row>
    <row r="9" spans="1:22" ht="15.75" customHeight="1">
      <c r="A9" s="944" t="s">
        <v>31</v>
      </c>
      <c r="B9" s="945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6"/>
    </row>
    <row r="10" spans="1:22" ht="15.75" customHeight="1">
      <c r="A10" s="2" t="s">
        <v>8</v>
      </c>
      <c r="B10" s="950" t="s">
        <v>37</v>
      </c>
      <c r="C10" s="951"/>
      <c r="D10" s="951"/>
      <c r="E10" s="951"/>
      <c r="F10" s="951"/>
      <c r="G10" s="951"/>
      <c r="H10" s="951"/>
      <c r="I10" s="951"/>
      <c r="J10" s="951"/>
      <c r="K10" s="951"/>
      <c r="L10" s="951"/>
      <c r="M10" s="951"/>
      <c r="N10" s="951"/>
      <c r="O10" s="951"/>
      <c r="P10" s="951"/>
      <c r="Q10" s="951"/>
      <c r="R10" s="951"/>
      <c r="S10" s="951"/>
      <c r="T10" s="951"/>
      <c r="U10" s="951"/>
      <c r="V10" s="952"/>
    </row>
    <row r="11" spans="1:22" ht="15.75" customHeight="1" thickBot="1">
      <c r="A11" s="94" t="s">
        <v>8</v>
      </c>
      <c r="B11" s="97" t="s">
        <v>8</v>
      </c>
      <c r="C11" s="947" t="s">
        <v>48</v>
      </c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9"/>
    </row>
    <row r="12" spans="1:22" ht="15" customHeight="1">
      <c r="A12" s="804" t="s">
        <v>8</v>
      </c>
      <c r="B12" s="813" t="s">
        <v>8</v>
      </c>
      <c r="C12" s="810" t="s">
        <v>8</v>
      </c>
      <c r="D12" s="221" t="s">
        <v>159</v>
      </c>
      <c r="E12" s="993" t="s">
        <v>22</v>
      </c>
      <c r="F12" s="916" t="s">
        <v>12</v>
      </c>
      <c r="G12" s="942" t="s">
        <v>144</v>
      </c>
      <c r="H12" s="236" t="s">
        <v>11</v>
      </c>
      <c r="I12" s="119">
        <f aca="true" t="shared" si="0" ref="I12:I18">J12+L12</f>
        <v>0</v>
      </c>
      <c r="J12" s="120"/>
      <c r="K12" s="120"/>
      <c r="L12" s="121"/>
      <c r="M12" s="119">
        <f aca="true" t="shared" si="1" ref="M12:M18">N12+P12</f>
        <v>0</v>
      </c>
      <c r="N12" s="230"/>
      <c r="O12" s="230"/>
      <c r="P12" s="231"/>
      <c r="Q12" s="422">
        <f aca="true" t="shared" si="2" ref="Q12:Q18">R12+T12</f>
        <v>0</v>
      </c>
      <c r="R12" s="414"/>
      <c r="S12" s="414"/>
      <c r="T12" s="415"/>
      <c r="U12" s="711">
        <v>64.2</v>
      </c>
      <c r="V12" s="232"/>
    </row>
    <row r="13" spans="1:22" ht="15" customHeight="1">
      <c r="A13" s="805"/>
      <c r="B13" s="814"/>
      <c r="C13" s="811"/>
      <c r="D13" s="222" t="s">
        <v>202</v>
      </c>
      <c r="E13" s="994"/>
      <c r="F13" s="917"/>
      <c r="G13" s="940"/>
      <c r="H13" s="237" t="s">
        <v>185</v>
      </c>
      <c r="I13" s="228">
        <f t="shared" si="0"/>
        <v>0</v>
      </c>
      <c r="J13" s="227"/>
      <c r="K13" s="227"/>
      <c r="L13" s="229"/>
      <c r="M13" s="228">
        <f t="shared" si="1"/>
        <v>513.5</v>
      </c>
      <c r="N13" s="227"/>
      <c r="O13" s="227"/>
      <c r="P13" s="229">
        <v>513.5</v>
      </c>
      <c r="Q13" s="425">
        <f t="shared" si="2"/>
        <v>513.5</v>
      </c>
      <c r="R13" s="471"/>
      <c r="S13" s="471"/>
      <c r="T13" s="472">
        <v>513.5</v>
      </c>
      <c r="U13" s="233">
        <v>513.5</v>
      </c>
      <c r="V13" s="233"/>
    </row>
    <row r="14" spans="1:22" ht="15" customHeight="1">
      <c r="A14" s="805"/>
      <c r="B14" s="814"/>
      <c r="C14" s="811"/>
      <c r="D14" s="726" t="s">
        <v>203</v>
      </c>
      <c r="E14" s="994"/>
      <c r="F14" s="917"/>
      <c r="G14" s="940"/>
      <c r="H14" s="237" t="s">
        <v>18</v>
      </c>
      <c r="I14" s="228">
        <f t="shared" si="0"/>
        <v>1381.1</v>
      </c>
      <c r="J14" s="227"/>
      <c r="K14" s="227"/>
      <c r="L14" s="229">
        <v>1381.1</v>
      </c>
      <c r="M14" s="228">
        <f t="shared" si="1"/>
        <v>1385.4</v>
      </c>
      <c r="N14" s="227"/>
      <c r="O14" s="227"/>
      <c r="P14" s="229">
        <v>1385.4</v>
      </c>
      <c r="Q14" s="425">
        <f t="shared" si="2"/>
        <v>1385.4</v>
      </c>
      <c r="R14" s="417"/>
      <c r="S14" s="417"/>
      <c r="T14" s="418">
        <v>1385.4</v>
      </c>
      <c r="U14" s="710">
        <f>1385.4+643+1212.2-643</f>
        <v>2597.6000000000004</v>
      </c>
      <c r="V14" s="710">
        <f>643-643</f>
        <v>0</v>
      </c>
    </row>
    <row r="15" spans="1:22" ht="15" customHeight="1">
      <c r="A15" s="805"/>
      <c r="B15" s="814"/>
      <c r="C15" s="811"/>
      <c r="D15" s="223" t="s">
        <v>204</v>
      </c>
      <c r="E15" s="919" t="s">
        <v>138</v>
      </c>
      <c r="F15" s="917"/>
      <c r="G15" s="940"/>
      <c r="H15" s="237" t="s">
        <v>53</v>
      </c>
      <c r="I15" s="228">
        <f t="shared" si="0"/>
        <v>400</v>
      </c>
      <c r="J15" s="227"/>
      <c r="K15" s="227"/>
      <c r="L15" s="229">
        <v>400</v>
      </c>
      <c r="M15" s="228">
        <f t="shared" si="1"/>
        <v>0</v>
      </c>
      <c r="N15" s="227"/>
      <c r="O15" s="227"/>
      <c r="P15" s="229"/>
      <c r="Q15" s="425">
        <f t="shared" si="2"/>
        <v>0</v>
      </c>
      <c r="R15" s="417"/>
      <c r="S15" s="417"/>
      <c r="T15" s="418"/>
      <c r="U15" s="233">
        <f>1139.4</f>
        <v>1139.4</v>
      </c>
      <c r="V15" s="233"/>
    </row>
    <row r="16" spans="1:22" ht="15" customHeight="1">
      <c r="A16" s="805"/>
      <c r="B16" s="814"/>
      <c r="C16" s="811"/>
      <c r="D16" s="938" t="s">
        <v>201</v>
      </c>
      <c r="E16" s="919"/>
      <c r="F16" s="917"/>
      <c r="G16" s="940"/>
      <c r="H16" s="238" t="s">
        <v>110</v>
      </c>
      <c r="I16" s="228">
        <f t="shared" si="0"/>
        <v>0</v>
      </c>
      <c r="J16" s="225"/>
      <c r="K16" s="225"/>
      <c r="L16" s="226"/>
      <c r="M16" s="228">
        <f t="shared" si="1"/>
        <v>171.1</v>
      </c>
      <c r="N16" s="225"/>
      <c r="O16" s="225"/>
      <c r="P16" s="226">
        <v>171.1</v>
      </c>
      <c r="Q16" s="425">
        <f t="shared" si="2"/>
        <v>171.1</v>
      </c>
      <c r="R16" s="417"/>
      <c r="S16" s="417"/>
      <c r="T16" s="466">
        <v>171.1</v>
      </c>
      <c r="U16" s="710">
        <f>171.1+79.4+149.8-79.4</f>
        <v>320.9</v>
      </c>
      <c r="V16" s="727">
        <f>79.4-79.4</f>
        <v>0</v>
      </c>
    </row>
    <row r="17" spans="1:22" ht="15" customHeight="1">
      <c r="A17" s="805"/>
      <c r="B17" s="814"/>
      <c r="C17" s="811"/>
      <c r="D17" s="938"/>
      <c r="E17" s="919"/>
      <c r="F17" s="917"/>
      <c r="G17" s="940"/>
      <c r="H17" s="238" t="s">
        <v>25</v>
      </c>
      <c r="I17" s="228">
        <f t="shared" si="0"/>
        <v>0</v>
      </c>
      <c r="J17" s="225"/>
      <c r="K17" s="225"/>
      <c r="L17" s="226"/>
      <c r="M17" s="228">
        <f t="shared" si="1"/>
        <v>0</v>
      </c>
      <c r="N17" s="225"/>
      <c r="O17" s="225"/>
      <c r="P17" s="226"/>
      <c r="Q17" s="425">
        <f t="shared" si="2"/>
        <v>0</v>
      </c>
      <c r="R17" s="417"/>
      <c r="S17" s="417"/>
      <c r="T17" s="466"/>
      <c r="U17" s="710">
        <f>659.1-659.1</f>
        <v>0</v>
      </c>
      <c r="V17" s="727">
        <f>659.1-659.1</f>
        <v>0</v>
      </c>
    </row>
    <row r="18" spans="1:22" ht="15" customHeight="1">
      <c r="A18" s="805"/>
      <c r="B18" s="814"/>
      <c r="C18" s="811"/>
      <c r="D18" s="722" t="s">
        <v>295</v>
      </c>
      <c r="E18" s="919"/>
      <c r="F18" s="917"/>
      <c r="G18" s="940"/>
      <c r="H18" s="238" t="s">
        <v>30</v>
      </c>
      <c r="I18" s="228">
        <f t="shared" si="0"/>
        <v>200</v>
      </c>
      <c r="J18" s="225"/>
      <c r="K18" s="225"/>
      <c r="L18" s="226">
        <v>200</v>
      </c>
      <c r="M18" s="228">
        <f t="shared" si="1"/>
        <v>200</v>
      </c>
      <c r="N18" s="225"/>
      <c r="O18" s="225"/>
      <c r="P18" s="226">
        <v>200</v>
      </c>
      <c r="Q18" s="453">
        <f t="shared" si="2"/>
        <v>200</v>
      </c>
      <c r="R18" s="420"/>
      <c r="S18" s="420"/>
      <c r="T18" s="457">
        <v>200</v>
      </c>
      <c r="U18" s="239"/>
      <c r="V18" s="234"/>
    </row>
    <row r="19" spans="1:22" ht="15" customHeight="1" thickBot="1">
      <c r="A19" s="806"/>
      <c r="B19" s="815"/>
      <c r="C19" s="812"/>
      <c r="D19" s="260"/>
      <c r="E19" s="1018"/>
      <c r="F19" s="918"/>
      <c r="G19" s="943"/>
      <c r="H19" s="473" t="s">
        <v>20</v>
      </c>
      <c r="I19" s="385">
        <f aca="true" t="shared" si="3" ref="I19:V19">SUM(I12:I18)</f>
        <v>1981.1</v>
      </c>
      <c r="J19" s="448">
        <f t="shared" si="3"/>
        <v>0</v>
      </c>
      <c r="K19" s="448">
        <f t="shared" si="3"/>
        <v>0</v>
      </c>
      <c r="L19" s="370">
        <f t="shared" si="3"/>
        <v>1981.1</v>
      </c>
      <c r="M19" s="385">
        <f t="shared" si="3"/>
        <v>2270</v>
      </c>
      <c r="N19" s="448">
        <f t="shared" si="3"/>
        <v>0</v>
      </c>
      <c r="O19" s="448">
        <f t="shared" si="3"/>
        <v>0</v>
      </c>
      <c r="P19" s="370">
        <f t="shared" si="3"/>
        <v>2270</v>
      </c>
      <c r="Q19" s="385">
        <f t="shared" si="3"/>
        <v>2270</v>
      </c>
      <c r="R19" s="448">
        <f t="shared" si="3"/>
        <v>0</v>
      </c>
      <c r="S19" s="448">
        <f t="shared" si="3"/>
        <v>0</v>
      </c>
      <c r="T19" s="370">
        <f t="shared" si="3"/>
        <v>2270</v>
      </c>
      <c r="U19" s="372">
        <f>SUM(U12:U18)</f>
        <v>4635.6</v>
      </c>
      <c r="V19" s="372">
        <f t="shared" si="3"/>
        <v>0</v>
      </c>
    </row>
    <row r="20" spans="1:22" ht="15.75" customHeight="1">
      <c r="A20" s="804" t="s">
        <v>8</v>
      </c>
      <c r="B20" s="813" t="s">
        <v>8</v>
      </c>
      <c r="C20" s="924" t="s">
        <v>9</v>
      </c>
      <c r="D20" s="224" t="s">
        <v>160</v>
      </c>
      <c r="E20" s="931" t="s">
        <v>22</v>
      </c>
      <c r="F20" s="916" t="s">
        <v>12</v>
      </c>
      <c r="G20" s="942" t="s">
        <v>144</v>
      </c>
      <c r="H20" s="236" t="s">
        <v>11</v>
      </c>
      <c r="I20" s="119">
        <f aca="true" t="shared" si="4" ref="I20:I26">J20+L20</f>
        <v>0</v>
      </c>
      <c r="J20" s="120"/>
      <c r="K20" s="120"/>
      <c r="L20" s="121"/>
      <c r="M20" s="119">
        <f aca="true" t="shared" si="5" ref="M20:M26">N20+P20</f>
        <v>0</v>
      </c>
      <c r="N20" s="230"/>
      <c r="O20" s="230"/>
      <c r="P20" s="231"/>
      <c r="Q20" s="422">
        <f aca="true" t="shared" si="6" ref="Q20:Q26">R20+T20</f>
        <v>0</v>
      </c>
      <c r="R20" s="414"/>
      <c r="S20" s="414"/>
      <c r="T20" s="415"/>
      <c r="U20" s="232"/>
      <c r="V20" s="232"/>
    </row>
    <row r="21" spans="1:22" ht="15.75" customHeight="1">
      <c r="A21" s="805"/>
      <c r="B21" s="814"/>
      <c r="C21" s="925"/>
      <c r="D21" s="938" t="s">
        <v>207</v>
      </c>
      <c r="E21" s="932"/>
      <c r="F21" s="917"/>
      <c r="G21" s="940"/>
      <c r="H21" s="237" t="s">
        <v>185</v>
      </c>
      <c r="I21" s="228">
        <f t="shared" si="4"/>
        <v>0</v>
      </c>
      <c r="J21" s="227"/>
      <c r="K21" s="227"/>
      <c r="L21" s="229"/>
      <c r="M21" s="228">
        <f t="shared" si="5"/>
        <v>0</v>
      </c>
      <c r="N21" s="227"/>
      <c r="O21" s="227"/>
      <c r="P21" s="229"/>
      <c r="Q21" s="425">
        <f t="shared" si="6"/>
        <v>0</v>
      </c>
      <c r="R21" s="471"/>
      <c r="S21" s="471"/>
      <c r="T21" s="472"/>
      <c r="U21" s="233"/>
      <c r="V21" s="233">
        <v>2500</v>
      </c>
    </row>
    <row r="22" spans="1:22" ht="15.75" customHeight="1">
      <c r="A22" s="805"/>
      <c r="B22" s="814"/>
      <c r="C22" s="925"/>
      <c r="D22" s="938"/>
      <c r="E22" s="932"/>
      <c r="F22" s="917"/>
      <c r="G22" s="940"/>
      <c r="H22" s="237" t="s">
        <v>18</v>
      </c>
      <c r="I22" s="228">
        <f t="shared" si="4"/>
        <v>0</v>
      </c>
      <c r="J22" s="227"/>
      <c r="K22" s="227"/>
      <c r="L22" s="229"/>
      <c r="M22" s="228">
        <f t="shared" si="5"/>
        <v>0</v>
      </c>
      <c r="N22" s="227"/>
      <c r="O22" s="227"/>
      <c r="P22" s="229"/>
      <c r="Q22" s="425">
        <f t="shared" si="6"/>
        <v>0</v>
      </c>
      <c r="R22" s="417"/>
      <c r="S22" s="417"/>
      <c r="T22" s="418"/>
      <c r="U22" s="233"/>
      <c r="V22" s="233"/>
    </row>
    <row r="23" spans="1:22" ht="15.75" customHeight="1">
      <c r="A23" s="805"/>
      <c r="B23" s="814"/>
      <c r="C23" s="925"/>
      <c r="D23" s="220" t="s">
        <v>205</v>
      </c>
      <c r="E23" s="919" t="s">
        <v>162</v>
      </c>
      <c r="F23" s="917"/>
      <c r="G23" s="940"/>
      <c r="H23" s="237" t="s">
        <v>53</v>
      </c>
      <c r="I23" s="228">
        <f t="shared" si="4"/>
        <v>1750</v>
      </c>
      <c r="J23" s="227"/>
      <c r="K23" s="227"/>
      <c r="L23" s="229">
        <f>1700+50</f>
        <v>1750</v>
      </c>
      <c r="M23" s="228">
        <f t="shared" si="5"/>
        <v>470</v>
      </c>
      <c r="N23" s="227"/>
      <c r="O23" s="227"/>
      <c r="P23" s="229">
        <f>100+20+350</f>
        <v>470</v>
      </c>
      <c r="Q23" s="425">
        <f t="shared" si="6"/>
        <v>470</v>
      </c>
      <c r="R23" s="417"/>
      <c r="S23" s="417"/>
      <c r="T23" s="418">
        <f>100+350+20</f>
        <v>470</v>
      </c>
      <c r="U23" s="233">
        <f>3376.8+50+562</f>
        <v>3988.8</v>
      </c>
      <c r="V23" s="233">
        <v>3151</v>
      </c>
    </row>
    <row r="24" spans="1:22" ht="15.75" customHeight="1">
      <c r="A24" s="805"/>
      <c r="B24" s="814"/>
      <c r="C24" s="925"/>
      <c r="D24" s="220" t="s">
        <v>206</v>
      </c>
      <c r="E24" s="919"/>
      <c r="F24" s="917"/>
      <c r="G24" s="940"/>
      <c r="H24" s="238" t="s">
        <v>110</v>
      </c>
      <c r="I24" s="228">
        <f t="shared" si="4"/>
        <v>0</v>
      </c>
      <c r="J24" s="227"/>
      <c r="K24" s="227"/>
      <c r="L24" s="229"/>
      <c r="M24" s="228">
        <f t="shared" si="5"/>
        <v>0</v>
      </c>
      <c r="N24" s="227"/>
      <c r="O24" s="227"/>
      <c r="P24" s="229"/>
      <c r="Q24" s="425">
        <f t="shared" si="6"/>
        <v>0</v>
      </c>
      <c r="R24" s="417"/>
      <c r="S24" s="417"/>
      <c r="T24" s="418"/>
      <c r="U24" s="233"/>
      <c r="V24" s="233"/>
    </row>
    <row r="25" spans="1:22" ht="29.25" customHeight="1">
      <c r="A25" s="805"/>
      <c r="B25" s="814"/>
      <c r="C25" s="925"/>
      <c r="D25" s="220" t="s">
        <v>225</v>
      </c>
      <c r="E25" s="919"/>
      <c r="F25" s="917"/>
      <c r="G25" s="940"/>
      <c r="H25" s="238" t="s">
        <v>25</v>
      </c>
      <c r="I25" s="228">
        <f t="shared" si="4"/>
        <v>0</v>
      </c>
      <c r="J25" s="225"/>
      <c r="K25" s="225"/>
      <c r="L25" s="226"/>
      <c r="M25" s="228">
        <f t="shared" si="5"/>
        <v>0</v>
      </c>
      <c r="N25" s="225"/>
      <c r="O25" s="225"/>
      <c r="P25" s="226"/>
      <c r="Q25" s="425">
        <f t="shared" si="6"/>
        <v>0</v>
      </c>
      <c r="R25" s="417"/>
      <c r="S25" s="417"/>
      <c r="T25" s="418"/>
      <c r="U25" s="234"/>
      <c r="V25" s="234"/>
    </row>
    <row r="26" spans="1:22" ht="15.75" customHeight="1">
      <c r="A26" s="805"/>
      <c r="B26" s="814"/>
      <c r="C26" s="925"/>
      <c r="D26" s="220" t="s">
        <v>184</v>
      </c>
      <c r="E26" s="919"/>
      <c r="F26" s="917"/>
      <c r="G26" s="940"/>
      <c r="H26" s="237" t="s">
        <v>30</v>
      </c>
      <c r="I26" s="228">
        <f t="shared" si="4"/>
        <v>0</v>
      </c>
      <c r="J26" s="227"/>
      <c r="K26" s="227"/>
      <c r="L26" s="229"/>
      <c r="M26" s="228">
        <f t="shared" si="5"/>
        <v>0</v>
      </c>
      <c r="N26" s="227"/>
      <c r="O26" s="227"/>
      <c r="P26" s="229"/>
      <c r="Q26" s="425">
        <f t="shared" si="6"/>
        <v>0</v>
      </c>
      <c r="R26" s="454"/>
      <c r="S26" s="454"/>
      <c r="T26" s="469"/>
      <c r="U26" s="233">
        <v>870</v>
      </c>
      <c r="V26" s="233">
        <v>910</v>
      </c>
    </row>
    <row r="27" spans="1:22" ht="16.5" customHeight="1" thickBot="1">
      <c r="A27" s="806"/>
      <c r="B27" s="815"/>
      <c r="C27" s="926"/>
      <c r="D27" s="357" t="s">
        <v>193</v>
      </c>
      <c r="E27" s="489"/>
      <c r="F27" s="918"/>
      <c r="G27" s="943"/>
      <c r="H27" s="480" t="s">
        <v>20</v>
      </c>
      <c r="I27" s="367">
        <f aca="true" t="shared" si="7" ref="I27:V27">SUM(I20:I26)</f>
        <v>1750</v>
      </c>
      <c r="J27" s="369">
        <f t="shared" si="7"/>
        <v>0</v>
      </c>
      <c r="K27" s="369">
        <f t="shared" si="7"/>
        <v>0</v>
      </c>
      <c r="L27" s="479">
        <f t="shared" si="7"/>
        <v>1750</v>
      </c>
      <c r="M27" s="367">
        <f t="shared" si="7"/>
        <v>470</v>
      </c>
      <c r="N27" s="369">
        <f t="shared" si="7"/>
        <v>0</v>
      </c>
      <c r="O27" s="369">
        <f t="shared" si="7"/>
        <v>0</v>
      </c>
      <c r="P27" s="479">
        <f t="shared" si="7"/>
        <v>470</v>
      </c>
      <c r="Q27" s="367">
        <f t="shared" si="7"/>
        <v>470</v>
      </c>
      <c r="R27" s="369">
        <f t="shared" si="7"/>
        <v>0</v>
      </c>
      <c r="S27" s="369">
        <f t="shared" si="7"/>
        <v>0</v>
      </c>
      <c r="T27" s="479">
        <f t="shared" si="7"/>
        <v>470</v>
      </c>
      <c r="U27" s="474">
        <f t="shared" si="7"/>
        <v>4858.8</v>
      </c>
      <c r="V27" s="477">
        <f t="shared" si="7"/>
        <v>6561</v>
      </c>
    </row>
    <row r="28" spans="1:22" ht="15" customHeight="1">
      <c r="A28" s="804" t="s">
        <v>8</v>
      </c>
      <c r="B28" s="813" t="s">
        <v>8</v>
      </c>
      <c r="C28" s="810" t="s">
        <v>10</v>
      </c>
      <c r="D28" s="235" t="s">
        <v>208</v>
      </c>
      <c r="E28" s="779" t="s">
        <v>22</v>
      </c>
      <c r="F28" s="916" t="s">
        <v>12</v>
      </c>
      <c r="G28" s="942" t="s">
        <v>144</v>
      </c>
      <c r="H28" s="268" t="s">
        <v>11</v>
      </c>
      <c r="I28" s="119">
        <f aca="true" t="shared" si="8" ref="I28:I50">J28+L28</f>
        <v>0</v>
      </c>
      <c r="J28" s="120"/>
      <c r="K28" s="120"/>
      <c r="L28" s="121"/>
      <c r="M28" s="154">
        <f aca="true" t="shared" si="9" ref="M28:M34">N28+P28</f>
        <v>0</v>
      </c>
      <c r="N28" s="230"/>
      <c r="O28" s="230"/>
      <c r="P28" s="231"/>
      <c r="Q28" s="422">
        <f aca="true" t="shared" si="10" ref="Q28:Q34">R28+T28</f>
        <v>0</v>
      </c>
      <c r="R28" s="414"/>
      <c r="S28" s="414"/>
      <c r="T28" s="415"/>
      <c r="U28" s="232"/>
      <c r="V28" s="232"/>
    </row>
    <row r="29" spans="1:22" ht="14.25" customHeight="1">
      <c r="A29" s="805"/>
      <c r="B29" s="814"/>
      <c r="C29" s="811"/>
      <c r="D29" s="18" t="s">
        <v>209</v>
      </c>
      <c r="E29" s="922"/>
      <c r="F29" s="917"/>
      <c r="G29" s="940"/>
      <c r="H29" s="237" t="s">
        <v>185</v>
      </c>
      <c r="I29" s="228">
        <f t="shared" si="8"/>
        <v>0</v>
      </c>
      <c r="J29" s="227"/>
      <c r="K29" s="227"/>
      <c r="L29" s="229"/>
      <c r="M29" s="266">
        <f t="shared" si="9"/>
        <v>100</v>
      </c>
      <c r="N29" s="227"/>
      <c r="O29" s="227"/>
      <c r="P29" s="229">
        <v>100</v>
      </c>
      <c r="Q29" s="425">
        <f t="shared" si="10"/>
        <v>0</v>
      </c>
      <c r="R29" s="471"/>
      <c r="S29" s="471"/>
      <c r="T29" s="472"/>
      <c r="U29" s="233">
        <v>300</v>
      </c>
      <c r="V29" s="233"/>
    </row>
    <row r="30" spans="1:22" ht="27" customHeight="1">
      <c r="A30" s="805"/>
      <c r="B30" s="814"/>
      <c r="C30" s="811"/>
      <c r="D30" s="222" t="s">
        <v>210</v>
      </c>
      <c r="E30" s="922"/>
      <c r="F30" s="917"/>
      <c r="G30" s="940"/>
      <c r="H30" s="269" t="s">
        <v>18</v>
      </c>
      <c r="I30" s="228">
        <f t="shared" si="8"/>
        <v>0</v>
      </c>
      <c r="J30" s="227"/>
      <c r="K30" s="227"/>
      <c r="L30" s="229"/>
      <c r="M30" s="266">
        <f t="shared" si="9"/>
        <v>0</v>
      </c>
      <c r="N30" s="227"/>
      <c r="O30" s="227"/>
      <c r="P30" s="229"/>
      <c r="Q30" s="425">
        <f t="shared" si="10"/>
        <v>0</v>
      </c>
      <c r="R30" s="417"/>
      <c r="S30" s="417"/>
      <c r="T30" s="418"/>
      <c r="U30" s="233"/>
      <c r="V30" s="233"/>
    </row>
    <row r="31" spans="1:22" ht="15" customHeight="1">
      <c r="A31" s="805"/>
      <c r="B31" s="814"/>
      <c r="C31" s="811"/>
      <c r="D31" s="223" t="s">
        <v>211</v>
      </c>
      <c r="E31" s="922"/>
      <c r="F31" s="917"/>
      <c r="G31" s="940"/>
      <c r="H31" s="269" t="s">
        <v>53</v>
      </c>
      <c r="I31" s="228">
        <f t="shared" si="8"/>
        <v>10030</v>
      </c>
      <c r="J31" s="227"/>
      <c r="K31" s="227"/>
      <c r="L31" s="229">
        <f>10000+30</f>
        <v>10030</v>
      </c>
      <c r="M31" s="266">
        <f t="shared" si="9"/>
        <v>3963</v>
      </c>
      <c r="N31" s="227"/>
      <c r="O31" s="227"/>
      <c r="P31" s="229">
        <v>3963</v>
      </c>
      <c r="Q31" s="425">
        <f t="shared" si="10"/>
        <v>3663</v>
      </c>
      <c r="R31" s="454"/>
      <c r="S31" s="454"/>
      <c r="T31" s="455">
        <f>3963-1263+963</f>
        <v>3663</v>
      </c>
      <c r="U31" s="233">
        <f>4000+100+100</f>
        <v>4200</v>
      </c>
      <c r="V31" s="233">
        <f>1995+200+482+361</f>
        <v>3038</v>
      </c>
    </row>
    <row r="32" spans="1:22" ht="27" customHeight="1">
      <c r="A32" s="805"/>
      <c r="B32" s="814"/>
      <c r="C32" s="811"/>
      <c r="D32" s="223" t="s">
        <v>212</v>
      </c>
      <c r="E32" s="922"/>
      <c r="F32" s="917"/>
      <c r="G32" s="940"/>
      <c r="H32" s="270" t="s">
        <v>110</v>
      </c>
      <c r="I32" s="228">
        <f t="shared" si="8"/>
        <v>0</v>
      </c>
      <c r="J32" s="225"/>
      <c r="K32" s="225"/>
      <c r="L32" s="226"/>
      <c r="M32" s="266">
        <f t="shared" si="9"/>
        <v>0</v>
      </c>
      <c r="N32" s="225"/>
      <c r="O32" s="225"/>
      <c r="P32" s="226"/>
      <c r="Q32" s="425">
        <f t="shared" si="10"/>
        <v>0</v>
      </c>
      <c r="R32" s="454"/>
      <c r="S32" s="454"/>
      <c r="T32" s="455"/>
      <c r="U32" s="234"/>
      <c r="V32" s="234"/>
    </row>
    <row r="33" spans="1:22" ht="27.75" customHeight="1">
      <c r="A33" s="805"/>
      <c r="B33" s="814"/>
      <c r="C33" s="811"/>
      <c r="D33" s="223" t="s">
        <v>213</v>
      </c>
      <c r="E33" s="922"/>
      <c r="F33" s="917"/>
      <c r="G33" s="940"/>
      <c r="H33" s="270" t="s">
        <v>25</v>
      </c>
      <c r="I33" s="228">
        <f t="shared" si="8"/>
        <v>0</v>
      </c>
      <c r="J33" s="225"/>
      <c r="K33" s="225"/>
      <c r="L33" s="226"/>
      <c r="M33" s="266">
        <f t="shared" si="9"/>
        <v>7000</v>
      </c>
      <c r="N33" s="225"/>
      <c r="O33" s="225"/>
      <c r="P33" s="226">
        <v>7000</v>
      </c>
      <c r="Q33" s="425">
        <f t="shared" si="10"/>
        <v>7000</v>
      </c>
      <c r="R33" s="454"/>
      <c r="S33" s="454"/>
      <c r="T33" s="455">
        <v>7000</v>
      </c>
      <c r="U33" s="234"/>
      <c r="V33" s="234"/>
    </row>
    <row r="34" spans="1:22" ht="15" customHeight="1">
      <c r="A34" s="805"/>
      <c r="B34" s="814"/>
      <c r="C34" s="811"/>
      <c r="D34" s="1021" t="s">
        <v>149</v>
      </c>
      <c r="E34" s="922"/>
      <c r="F34" s="917"/>
      <c r="G34" s="940"/>
      <c r="H34" s="270" t="s">
        <v>30</v>
      </c>
      <c r="I34" s="265">
        <f t="shared" si="8"/>
        <v>0</v>
      </c>
      <c r="J34" s="225"/>
      <c r="K34" s="225"/>
      <c r="L34" s="226"/>
      <c r="M34" s="266">
        <f t="shared" si="9"/>
        <v>0</v>
      </c>
      <c r="N34" s="227"/>
      <c r="O34" s="227"/>
      <c r="P34" s="229"/>
      <c r="Q34" s="425">
        <f t="shared" si="10"/>
        <v>0</v>
      </c>
      <c r="R34" s="454"/>
      <c r="S34" s="454"/>
      <c r="T34" s="455"/>
      <c r="U34" s="233">
        <v>2837.3</v>
      </c>
      <c r="V34" s="233">
        <f>110+6000</f>
        <v>6110</v>
      </c>
    </row>
    <row r="35" spans="1:22" ht="15" customHeight="1" thickBot="1">
      <c r="A35" s="806"/>
      <c r="B35" s="815"/>
      <c r="C35" s="812"/>
      <c r="D35" s="1022"/>
      <c r="E35" s="778"/>
      <c r="F35" s="923"/>
      <c r="G35" s="941"/>
      <c r="H35" s="478" t="s">
        <v>20</v>
      </c>
      <c r="I35" s="367">
        <f aca="true" t="shared" si="11" ref="I35:V35">SUM(I28:I34)</f>
        <v>10030</v>
      </c>
      <c r="J35" s="369">
        <f t="shared" si="11"/>
        <v>0</v>
      </c>
      <c r="K35" s="369">
        <f t="shared" si="11"/>
        <v>0</v>
      </c>
      <c r="L35" s="370">
        <f t="shared" si="11"/>
        <v>10030</v>
      </c>
      <c r="M35" s="479">
        <f t="shared" si="11"/>
        <v>11063</v>
      </c>
      <c r="N35" s="475">
        <f t="shared" si="11"/>
        <v>0</v>
      </c>
      <c r="O35" s="475">
        <f t="shared" si="11"/>
        <v>0</v>
      </c>
      <c r="P35" s="476">
        <f t="shared" si="11"/>
        <v>11063</v>
      </c>
      <c r="Q35" s="474">
        <f t="shared" si="11"/>
        <v>10663</v>
      </c>
      <c r="R35" s="475">
        <f t="shared" si="11"/>
        <v>0</v>
      </c>
      <c r="S35" s="475">
        <f t="shared" si="11"/>
        <v>0</v>
      </c>
      <c r="T35" s="476">
        <f t="shared" si="11"/>
        <v>10663</v>
      </c>
      <c r="U35" s="477">
        <f t="shared" si="11"/>
        <v>7337.3</v>
      </c>
      <c r="V35" s="477">
        <f t="shared" si="11"/>
        <v>9148</v>
      </c>
    </row>
    <row r="36" spans="1:22" ht="15.75" customHeight="1">
      <c r="A36" s="804" t="s">
        <v>8</v>
      </c>
      <c r="B36" s="813" t="s">
        <v>8</v>
      </c>
      <c r="C36" s="810" t="s">
        <v>12</v>
      </c>
      <c r="D36" s="221" t="s">
        <v>161</v>
      </c>
      <c r="E36" s="936" t="s">
        <v>22</v>
      </c>
      <c r="F36" s="930" t="s">
        <v>12</v>
      </c>
      <c r="G36" s="939" t="s">
        <v>144</v>
      </c>
      <c r="H36" s="267" t="s">
        <v>11</v>
      </c>
      <c r="I36" s="143">
        <f t="shared" si="8"/>
        <v>0</v>
      </c>
      <c r="J36" s="134"/>
      <c r="K36" s="134"/>
      <c r="L36" s="135"/>
      <c r="M36" s="119">
        <f aca="true" t="shared" si="12" ref="M36:M42">N36+P36</f>
        <v>0</v>
      </c>
      <c r="N36" s="230"/>
      <c r="O36" s="230"/>
      <c r="P36" s="231"/>
      <c r="Q36" s="422">
        <f aca="true" t="shared" si="13" ref="Q36:Q42">R36+T36</f>
        <v>0</v>
      </c>
      <c r="R36" s="414"/>
      <c r="S36" s="414"/>
      <c r="T36" s="415"/>
      <c r="U36" s="232"/>
      <c r="V36" s="232"/>
    </row>
    <row r="37" spans="1:22" ht="15.75" customHeight="1">
      <c r="A37" s="805"/>
      <c r="B37" s="814"/>
      <c r="C37" s="811"/>
      <c r="D37" s="222" t="s">
        <v>104</v>
      </c>
      <c r="E37" s="922"/>
      <c r="F37" s="917"/>
      <c r="G37" s="940"/>
      <c r="H37" s="237" t="s">
        <v>185</v>
      </c>
      <c r="I37" s="228">
        <f t="shared" si="8"/>
        <v>0</v>
      </c>
      <c r="J37" s="227"/>
      <c r="K37" s="227"/>
      <c r="L37" s="229"/>
      <c r="M37" s="228">
        <f t="shared" si="12"/>
        <v>0</v>
      </c>
      <c r="N37" s="227"/>
      <c r="O37" s="227"/>
      <c r="P37" s="229"/>
      <c r="Q37" s="425">
        <f t="shared" si="13"/>
        <v>0</v>
      </c>
      <c r="R37" s="471"/>
      <c r="S37" s="471"/>
      <c r="T37" s="472"/>
      <c r="U37" s="233"/>
      <c r="V37" s="233"/>
    </row>
    <row r="38" spans="1:22" ht="15.75" customHeight="1">
      <c r="A38" s="805"/>
      <c r="B38" s="814"/>
      <c r="C38" s="811"/>
      <c r="D38" s="223" t="s">
        <v>214</v>
      </c>
      <c r="E38" s="922"/>
      <c r="F38" s="917"/>
      <c r="G38" s="940"/>
      <c r="H38" s="237" t="s">
        <v>18</v>
      </c>
      <c r="I38" s="228">
        <f t="shared" si="8"/>
        <v>0</v>
      </c>
      <c r="J38" s="227"/>
      <c r="K38" s="227"/>
      <c r="L38" s="229"/>
      <c r="M38" s="228">
        <f t="shared" si="12"/>
        <v>0</v>
      </c>
      <c r="N38" s="227"/>
      <c r="O38" s="227"/>
      <c r="P38" s="229"/>
      <c r="Q38" s="425">
        <f t="shared" si="13"/>
        <v>0</v>
      </c>
      <c r="R38" s="417"/>
      <c r="S38" s="417"/>
      <c r="T38" s="418"/>
      <c r="U38" s="233"/>
      <c r="V38" s="233"/>
    </row>
    <row r="39" spans="1:22" ht="15.75" customHeight="1">
      <c r="A39" s="805"/>
      <c r="B39" s="814"/>
      <c r="C39" s="811"/>
      <c r="D39" s="223"/>
      <c r="E39" s="922"/>
      <c r="F39" s="917"/>
      <c r="G39" s="940"/>
      <c r="H39" s="237" t="s">
        <v>53</v>
      </c>
      <c r="I39" s="228">
        <f t="shared" si="8"/>
        <v>50</v>
      </c>
      <c r="J39" s="227"/>
      <c r="K39" s="227"/>
      <c r="L39" s="229">
        <v>50</v>
      </c>
      <c r="M39" s="228">
        <f t="shared" si="12"/>
        <v>0</v>
      </c>
      <c r="N39" s="227"/>
      <c r="O39" s="227"/>
      <c r="P39" s="229"/>
      <c r="Q39" s="425">
        <f t="shared" si="13"/>
        <v>0</v>
      </c>
      <c r="R39" s="417"/>
      <c r="S39" s="417"/>
      <c r="T39" s="418"/>
      <c r="U39" s="233">
        <f>400+300</f>
        <v>700</v>
      </c>
      <c r="V39" s="233">
        <f>286+156</f>
        <v>442</v>
      </c>
    </row>
    <row r="40" spans="1:22" ht="15.75" customHeight="1">
      <c r="A40" s="805"/>
      <c r="B40" s="814"/>
      <c r="C40" s="811"/>
      <c r="D40" s="223"/>
      <c r="E40" s="922"/>
      <c r="F40" s="917"/>
      <c r="G40" s="940"/>
      <c r="H40" s="238" t="s">
        <v>110</v>
      </c>
      <c r="I40" s="228">
        <f t="shared" si="8"/>
        <v>0</v>
      </c>
      <c r="J40" s="225"/>
      <c r="K40" s="225"/>
      <c r="L40" s="226"/>
      <c r="M40" s="228">
        <f t="shared" si="12"/>
        <v>0</v>
      </c>
      <c r="N40" s="225"/>
      <c r="O40" s="225"/>
      <c r="P40" s="226"/>
      <c r="Q40" s="425">
        <f t="shared" si="13"/>
        <v>0</v>
      </c>
      <c r="R40" s="417"/>
      <c r="S40" s="417"/>
      <c r="T40" s="418"/>
      <c r="U40" s="234"/>
      <c r="V40" s="234"/>
    </row>
    <row r="41" spans="1:22" ht="15.75" customHeight="1">
      <c r="A41" s="805"/>
      <c r="B41" s="814"/>
      <c r="C41" s="811"/>
      <c r="D41" s="223"/>
      <c r="E41" s="922"/>
      <c r="F41" s="917"/>
      <c r="G41" s="940"/>
      <c r="H41" s="238" t="s">
        <v>25</v>
      </c>
      <c r="I41" s="228">
        <f t="shared" si="8"/>
        <v>0</v>
      </c>
      <c r="J41" s="225"/>
      <c r="K41" s="225"/>
      <c r="L41" s="226"/>
      <c r="M41" s="228">
        <f t="shared" si="12"/>
        <v>0</v>
      </c>
      <c r="N41" s="225"/>
      <c r="O41" s="225"/>
      <c r="P41" s="226"/>
      <c r="Q41" s="425">
        <f t="shared" si="13"/>
        <v>0</v>
      </c>
      <c r="R41" s="417"/>
      <c r="S41" s="417"/>
      <c r="T41" s="418"/>
      <c r="U41" s="234"/>
      <c r="V41" s="234"/>
    </row>
    <row r="42" spans="1:22" ht="15.75" customHeight="1">
      <c r="A42" s="805"/>
      <c r="B42" s="814"/>
      <c r="C42" s="811"/>
      <c r="D42" s="223"/>
      <c r="E42" s="922"/>
      <c r="F42" s="917"/>
      <c r="G42" s="940"/>
      <c r="H42" s="238" t="s">
        <v>30</v>
      </c>
      <c r="I42" s="228">
        <f t="shared" si="8"/>
        <v>0</v>
      </c>
      <c r="J42" s="227"/>
      <c r="K42" s="227"/>
      <c r="L42" s="229"/>
      <c r="M42" s="228">
        <f t="shared" si="12"/>
        <v>0</v>
      </c>
      <c r="N42" s="227"/>
      <c r="O42" s="227"/>
      <c r="P42" s="229"/>
      <c r="Q42" s="425">
        <f t="shared" si="13"/>
        <v>0</v>
      </c>
      <c r="R42" s="454"/>
      <c r="S42" s="454"/>
      <c r="T42" s="455"/>
      <c r="U42" s="233"/>
      <c r="V42" s="233"/>
    </row>
    <row r="43" spans="1:22" ht="15.75" customHeight="1" thickBot="1">
      <c r="A43" s="806"/>
      <c r="B43" s="815"/>
      <c r="C43" s="812"/>
      <c r="D43" s="260"/>
      <c r="E43" s="778"/>
      <c r="F43" s="923"/>
      <c r="G43" s="941"/>
      <c r="H43" s="473" t="s">
        <v>20</v>
      </c>
      <c r="I43" s="474">
        <f aca="true" t="shared" si="14" ref="I43:V43">SUM(I36:I42)</f>
        <v>50</v>
      </c>
      <c r="J43" s="475">
        <f t="shared" si="14"/>
        <v>0</v>
      </c>
      <c r="K43" s="475">
        <f t="shared" si="14"/>
        <v>0</v>
      </c>
      <c r="L43" s="476">
        <f t="shared" si="14"/>
        <v>50</v>
      </c>
      <c r="M43" s="474">
        <f t="shared" si="14"/>
        <v>0</v>
      </c>
      <c r="N43" s="475">
        <f t="shared" si="14"/>
        <v>0</v>
      </c>
      <c r="O43" s="475">
        <f t="shared" si="14"/>
        <v>0</v>
      </c>
      <c r="P43" s="476">
        <f t="shared" si="14"/>
        <v>0</v>
      </c>
      <c r="Q43" s="474">
        <f t="shared" si="14"/>
        <v>0</v>
      </c>
      <c r="R43" s="475">
        <f t="shared" si="14"/>
        <v>0</v>
      </c>
      <c r="S43" s="475">
        <f t="shared" si="14"/>
        <v>0</v>
      </c>
      <c r="T43" s="476">
        <f t="shared" si="14"/>
        <v>0</v>
      </c>
      <c r="U43" s="477">
        <f t="shared" si="14"/>
        <v>700</v>
      </c>
      <c r="V43" s="477">
        <f t="shared" si="14"/>
        <v>442</v>
      </c>
    </row>
    <row r="44" spans="1:22" ht="15.75" customHeight="1">
      <c r="A44" s="804" t="s">
        <v>8</v>
      </c>
      <c r="B44" s="813" t="s">
        <v>8</v>
      </c>
      <c r="C44" s="810" t="s">
        <v>38</v>
      </c>
      <c r="D44" s="221" t="s">
        <v>163</v>
      </c>
      <c r="E44" s="936" t="s">
        <v>22</v>
      </c>
      <c r="F44" s="930" t="s">
        <v>12</v>
      </c>
      <c r="G44" s="939" t="s">
        <v>144</v>
      </c>
      <c r="H44" s="236" t="s">
        <v>11</v>
      </c>
      <c r="I44" s="119">
        <f t="shared" si="8"/>
        <v>0</v>
      </c>
      <c r="J44" s="120"/>
      <c r="K44" s="120"/>
      <c r="L44" s="121"/>
      <c r="M44" s="119">
        <f aca="true" t="shared" si="15" ref="M44:M50">N44+P44</f>
        <v>0</v>
      </c>
      <c r="N44" s="230"/>
      <c r="O44" s="230"/>
      <c r="P44" s="231"/>
      <c r="Q44" s="422">
        <f aca="true" t="shared" si="16" ref="Q44:Q50">R44+T44</f>
        <v>0</v>
      </c>
      <c r="R44" s="414"/>
      <c r="S44" s="414"/>
      <c r="T44" s="415"/>
      <c r="U44" s="232"/>
      <c r="V44" s="232"/>
    </row>
    <row r="45" spans="1:22" ht="15.75" customHeight="1">
      <c r="A45" s="805"/>
      <c r="B45" s="814"/>
      <c r="C45" s="811"/>
      <c r="D45" s="222" t="s">
        <v>215</v>
      </c>
      <c r="E45" s="922"/>
      <c r="F45" s="917"/>
      <c r="G45" s="940"/>
      <c r="H45" s="237" t="s">
        <v>185</v>
      </c>
      <c r="I45" s="228">
        <f t="shared" si="8"/>
        <v>0</v>
      </c>
      <c r="J45" s="227"/>
      <c r="K45" s="227"/>
      <c r="L45" s="229"/>
      <c r="M45" s="228">
        <f t="shared" si="15"/>
        <v>0</v>
      </c>
      <c r="N45" s="227"/>
      <c r="O45" s="227"/>
      <c r="P45" s="229"/>
      <c r="Q45" s="425">
        <f t="shared" si="16"/>
        <v>0</v>
      </c>
      <c r="R45" s="471"/>
      <c r="S45" s="471"/>
      <c r="T45" s="472"/>
      <c r="U45" s="233"/>
      <c r="V45" s="233"/>
    </row>
    <row r="46" spans="1:22" ht="15.75" customHeight="1">
      <c r="A46" s="805"/>
      <c r="B46" s="814"/>
      <c r="C46" s="811"/>
      <c r="D46" s="223"/>
      <c r="E46" s="922"/>
      <c r="F46" s="917"/>
      <c r="G46" s="940"/>
      <c r="H46" s="237" t="s">
        <v>18</v>
      </c>
      <c r="I46" s="228">
        <f t="shared" si="8"/>
        <v>0</v>
      </c>
      <c r="J46" s="227"/>
      <c r="K46" s="227"/>
      <c r="L46" s="229"/>
      <c r="M46" s="228">
        <f t="shared" si="15"/>
        <v>0</v>
      </c>
      <c r="N46" s="227"/>
      <c r="O46" s="227"/>
      <c r="P46" s="229"/>
      <c r="Q46" s="425">
        <f t="shared" si="16"/>
        <v>0</v>
      </c>
      <c r="R46" s="417"/>
      <c r="S46" s="417"/>
      <c r="T46" s="418"/>
      <c r="U46" s="233"/>
      <c r="V46" s="233"/>
    </row>
    <row r="47" spans="1:22" ht="15.75" customHeight="1">
      <c r="A47" s="805"/>
      <c r="B47" s="814"/>
      <c r="C47" s="811"/>
      <c r="D47" s="223"/>
      <c r="E47" s="922"/>
      <c r="F47" s="917"/>
      <c r="G47" s="940"/>
      <c r="H47" s="237" t="s">
        <v>53</v>
      </c>
      <c r="I47" s="228">
        <f t="shared" si="8"/>
        <v>250</v>
      </c>
      <c r="J47" s="240"/>
      <c r="K47" s="240"/>
      <c r="L47" s="241">
        <v>250</v>
      </c>
      <c r="M47" s="228">
        <f t="shared" si="15"/>
        <v>370.4</v>
      </c>
      <c r="N47" s="240"/>
      <c r="O47" s="240"/>
      <c r="P47" s="241">
        <v>370.4</v>
      </c>
      <c r="Q47" s="425">
        <f t="shared" si="16"/>
        <v>370.4</v>
      </c>
      <c r="R47" s="454"/>
      <c r="S47" s="454"/>
      <c r="T47" s="455">
        <v>370.4</v>
      </c>
      <c r="U47" s="242">
        <v>4000</v>
      </c>
      <c r="V47" s="242">
        <v>2000</v>
      </c>
    </row>
    <row r="48" spans="1:22" ht="15.75" customHeight="1">
      <c r="A48" s="805"/>
      <c r="B48" s="814"/>
      <c r="C48" s="811"/>
      <c r="D48" s="223"/>
      <c r="E48" s="922"/>
      <c r="F48" s="917"/>
      <c r="G48" s="940"/>
      <c r="H48" s="238" t="s">
        <v>110</v>
      </c>
      <c r="I48" s="228">
        <f t="shared" si="8"/>
        <v>0</v>
      </c>
      <c r="J48" s="227"/>
      <c r="K48" s="227"/>
      <c r="L48" s="229"/>
      <c r="M48" s="228">
        <f t="shared" si="15"/>
        <v>0</v>
      </c>
      <c r="N48" s="227"/>
      <c r="O48" s="227"/>
      <c r="P48" s="229"/>
      <c r="Q48" s="425">
        <f t="shared" si="16"/>
        <v>0</v>
      </c>
      <c r="R48" s="417"/>
      <c r="S48" s="417"/>
      <c r="T48" s="466"/>
      <c r="U48" s="233"/>
      <c r="V48" s="233"/>
    </row>
    <row r="49" spans="1:22" ht="15.75" customHeight="1">
      <c r="A49" s="805"/>
      <c r="B49" s="814"/>
      <c r="C49" s="811"/>
      <c r="D49" s="223"/>
      <c r="E49" s="922"/>
      <c r="F49" s="917"/>
      <c r="G49" s="940"/>
      <c r="H49" s="238" t="s">
        <v>25</v>
      </c>
      <c r="I49" s="228">
        <f t="shared" si="8"/>
        <v>0</v>
      </c>
      <c r="J49" s="227"/>
      <c r="K49" s="227"/>
      <c r="L49" s="229"/>
      <c r="M49" s="228">
        <f t="shared" si="15"/>
        <v>0</v>
      </c>
      <c r="N49" s="227"/>
      <c r="O49" s="227"/>
      <c r="P49" s="229"/>
      <c r="Q49" s="425">
        <f t="shared" si="16"/>
        <v>0</v>
      </c>
      <c r="R49" s="417"/>
      <c r="S49" s="417"/>
      <c r="T49" s="466"/>
      <c r="U49" s="233"/>
      <c r="V49" s="233"/>
    </row>
    <row r="50" spans="1:22" ht="15.75" customHeight="1">
      <c r="A50" s="805"/>
      <c r="B50" s="814"/>
      <c r="C50" s="811"/>
      <c r="D50" s="223"/>
      <c r="E50" s="922"/>
      <c r="F50" s="917"/>
      <c r="G50" s="940"/>
      <c r="H50" s="238" t="s">
        <v>30</v>
      </c>
      <c r="I50" s="228">
        <f t="shared" si="8"/>
        <v>0</v>
      </c>
      <c r="J50" s="227"/>
      <c r="K50" s="227"/>
      <c r="L50" s="229"/>
      <c r="M50" s="228">
        <f t="shared" si="15"/>
        <v>0</v>
      </c>
      <c r="N50" s="227"/>
      <c r="O50" s="227"/>
      <c r="P50" s="229"/>
      <c r="Q50" s="425">
        <f t="shared" si="16"/>
        <v>0</v>
      </c>
      <c r="R50" s="417"/>
      <c r="S50" s="417"/>
      <c r="T50" s="466"/>
      <c r="U50" s="233"/>
      <c r="V50" s="233"/>
    </row>
    <row r="51" spans="1:22" ht="15.75" customHeight="1" thickBot="1">
      <c r="A51" s="806"/>
      <c r="B51" s="815"/>
      <c r="C51" s="812"/>
      <c r="D51" s="260"/>
      <c r="E51" s="937"/>
      <c r="F51" s="918"/>
      <c r="G51" s="943"/>
      <c r="H51" s="473" t="s">
        <v>20</v>
      </c>
      <c r="I51" s="474">
        <f aca="true" t="shared" si="17" ref="I51:V51">SUM(I44:I50)</f>
        <v>250</v>
      </c>
      <c r="J51" s="475">
        <f t="shared" si="17"/>
        <v>0</v>
      </c>
      <c r="K51" s="475">
        <f t="shared" si="17"/>
        <v>0</v>
      </c>
      <c r="L51" s="476">
        <f t="shared" si="17"/>
        <v>250</v>
      </c>
      <c r="M51" s="474">
        <f t="shared" si="17"/>
        <v>370.4</v>
      </c>
      <c r="N51" s="475">
        <f t="shared" si="17"/>
        <v>0</v>
      </c>
      <c r="O51" s="475">
        <f t="shared" si="17"/>
        <v>0</v>
      </c>
      <c r="P51" s="476">
        <f t="shared" si="17"/>
        <v>370.4</v>
      </c>
      <c r="Q51" s="474">
        <f t="shared" si="17"/>
        <v>370.4</v>
      </c>
      <c r="R51" s="475">
        <f t="shared" si="17"/>
        <v>0</v>
      </c>
      <c r="S51" s="475">
        <f t="shared" si="17"/>
        <v>0</v>
      </c>
      <c r="T51" s="476">
        <f t="shared" si="17"/>
        <v>370.4</v>
      </c>
      <c r="U51" s="477">
        <f t="shared" si="17"/>
        <v>4000</v>
      </c>
      <c r="V51" s="477">
        <f t="shared" si="17"/>
        <v>2000</v>
      </c>
    </row>
    <row r="52" spans="1:22" ht="15.75" customHeight="1">
      <c r="A52" s="804" t="s">
        <v>8</v>
      </c>
      <c r="B52" s="813" t="s">
        <v>8</v>
      </c>
      <c r="C52" s="810" t="s">
        <v>13</v>
      </c>
      <c r="D52" s="933" t="s">
        <v>26</v>
      </c>
      <c r="E52" s="491" t="s">
        <v>22</v>
      </c>
      <c r="F52" s="916" t="s">
        <v>12</v>
      </c>
      <c r="G52" s="911" t="s">
        <v>144</v>
      </c>
      <c r="H52" s="114" t="s">
        <v>11</v>
      </c>
      <c r="I52" s="125">
        <f>J52+L52</f>
        <v>0</v>
      </c>
      <c r="J52" s="126"/>
      <c r="K52" s="126"/>
      <c r="L52" s="127"/>
      <c r="M52" s="125">
        <f>N52+P52</f>
        <v>0</v>
      </c>
      <c r="N52" s="139"/>
      <c r="O52" s="139"/>
      <c r="P52" s="144"/>
      <c r="Q52" s="425">
        <f>R52+T52</f>
        <v>0</v>
      </c>
      <c r="R52" s="414"/>
      <c r="S52" s="414"/>
      <c r="T52" s="415"/>
      <c r="U52" s="145"/>
      <c r="V52" s="145"/>
    </row>
    <row r="53" spans="1:22" ht="15.75" customHeight="1">
      <c r="A53" s="805"/>
      <c r="B53" s="814"/>
      <c r="C53" s="811"/>
      <c r="D53" s="934"/>
      <c r="E53" s="797" t="s">
        <v>141</v>
      </c>
      <c r="F53" s="917"/>
      <c r="G53" s="912"/>
      <c r="H53" s="237" t="s">
        <v>185</v>
      </c>
      <c r="I53" s="125">
        <f>J53+L53</f>
        <v>0</v>
      </c>
      <c r="J53" s="126"/>
      <c r="K53" s="126"/>
      <c r="L53" s="127"/>
      <c r="M53" s="125">
        <f>N53+P53</f>
        <v>451.4</v>
      </c>
      <c r="N53" s="139"/>
      <c r="O53" s="139"/>
      <c r="P53" s="144">
        <v>451.4</v>
      </c>
      <c r="Q53" s="425">
        <f>R53+T53</f>
        <v>451.4</v>
      </c>
      <c r="R53" s="454"/>
      <c r="S53" s="454"/>
      <c r="T53" s="455">
        <v>451.4</v>
      </c>
      <c r="U53" s="145">
        <v>451.3</v>
      </c>
      <c r="V53" s="145"/>
    </row>
    <row r="54" spans="1:22" ht="15.75" customHeight="1">
      <c r="A54" s="805"/>
      <c r="B54" s="814"/>
      <c r="C54" s="811"/>
      <c r="D54" s="934"/>
      <c r="E54" s="793"/>
      <c r="F54" s="917"/>
      <c r="G54" s="912"/>
      <c r="H54" s="114" t="s">
        <v>18</v>
      </c>
      <c r="I54" s="125">
        <f>J54+L54</f>
        <v>2762.8</v>
      </c>
      <c r="J54" s="126"/>
      <c r="K54" s="126"/>
      <c r="L54" s="127">
        <v>2762.8</v>
      </c>
      <c r="M54" s="125">
        <f>N54+P54</f>
        <v>3743.2</v>
      </c>
      <c r="N54" s="139"/>
      <c r="O54" s="139"/>
      <c r="P54" s="144">
        <v>3743.2</v>
      </c>
      <c r="Q54" s="425">
        <f>R54+T54</f>
        <v>3743.2</v>
      </c>
      <c r="R54" s="417"/>
      <c r="S54" s="417"/>
      <c r="T54" s="418">
        <v>3743.2</v>
      </c>
      <c r="U54" s="145">
        <v>3743.2</v>
      </c>
      <c r="V54" s="145"/>
    </row>
    <row r="55" spans="1:22" ht="15.75" customHeight="1">
      <c r="A55" s="805"/>
      <c r="B55" s="814"/>
      <c r="C55" s="811"/>
      <c r="D55" s="934"/>
      <c r="E55" s="793"/>
      <c r="F55" s="917"/>
      <c r="G55" s="912"/>
      <c r="H55" s="87" t="s">
        <v>110</v>
      </c>
      <c r="I55" s="125">
        <f>J55+L55</f>
        <v>0</v>
      </c>
      <c r="J55" s="126"/>
      <c r="K55" s="126"/>
      <c r="L55" s="127"/>
      <c r="M55" s="125">
        <f>N55+P55</f>
        <v>462.4</v>
      </c>
      <c r="N55" s="139"/>
      <c r="O55" s="139"/>
      <c r="P55" s="144">
        <v>462.4</v>
      </c>
      <c r="Q55" s="425">
        <f>R55+T55</f>
        <v>462.4</v>
      </c>
      <c r="R55" s="417"/>
      <c r="S55" s="417"/>
      <c r="T55" s="418">
        <v>462.4</v>
      </c>
      <c r="U55" s="145">
        <v>462.4</v>
      </c>
      <c r="V55" s="145"/>
    </row>
    <row r="56" spans="1:22" ht="15.75" customHeight="1" thickBot="1">
      <c r="A56" s="806"/>
      <c r="B56" s="815"/>
      <c r="C56" s="812"/>
      <c r="D56" s="935"/>
      <c r="E56" s="792"/>
      <c r="F56" s="918"/>
      <c r="G56" s="913"/>
      <c r="H56" s="401" t="s">
        <v>20</v>
      </c>
      <c r="I56" s="450">
        <f aca="true" t="shared" si="18" ref="I56:V56">SUM(I52:I55)</f>
        <v>2762.8</v>
      </c>
      <c r="J56" s="433">
        <f t="shared" si="18"/>
        <v>0</v>
      </c>
      <c r="K56" s="451">
        <f t="shared" si="18"/>
        <v>0</v>
      </c>
      <c r="L56" s="452">
        <f t="shared" si="18"/>
        <v>2762.8</v>
      </c>
      <c r="M56" s="450">
        <f t="shared" si="18"/>
        <v>4656.999999999999</v>
      </c>
      <c r="N56" s="433">
        <f t="shared" si="18"/>
        <v>0</v>
      </c>
      <c r="O56" s="451">
        <f t="shared" si="18"/>
        <v>0</v>
      </c>
      <c r="P56" s="452">
        <f t="shared" si="18"/>
        <v>4656.999999999999</v>
      </c>
      <c r="Q56" s="450">
        <f t="shared" si="18"/>
        <v>4656.999999999999</v>
      </c>
      <c r="R56" s="433">
        <f t="shared" si="18"/>
        <v>0</v>
      </c>
      <c r="S56" s="451">
        <f t="shared" si="18"/>
        <v>0</v>
      </c>
      <c r="T56" s="452">
        <f t="shared" si="18"/>
        <v>4656.999999999999</v>
      </c>
      <c r="U56" s="406">
        <f t="shared" si="18"/>
        <v>4656.9</v>
      </c>
      <c r="V56" s="406">
        <f t="shared" si="18"/>
        <v>0</v>
      </c>
    </row>
    <row r="57" spans="1:22" ht="15.75" customHeight="1">
      <c r="A57" s="804" t="s">
        <v>8</v>
      </c>
      <c r="B57" s="813" t="s">
        <v>8</v>
      </c>
      <c r="C57" s="810" t="s">
        <v>14</v>
      </c>
      <c r="D57" s="1019" t="s">
        <v>131</v>
      </c>
      <c r="E57" s="779" t="s">
        <v>22</v>
      </c>
      <c r="F57" s="916" t="s">
        <v>12</v>
      </c>
      <c r="G57" s="911" t="s">
        <v>144</v>
      </c>
      <c r="H57" s="114" t="s">
        <v>11</v>
      </c>
      <c r="I57" s="143">
        <f>J57+L57</f>
        <v>0</v>
      </c>
      <c r="J57" s="134"/>
      <c r="K57" s="134"/>
      <c r="L57" s="135"/>
      <c r="M57" s="143">
        <f>N57+P57</f>
        <v>0</v>
      </c>
      <c r="N57" s="136"/>
      <c r="O57" s="136"/>
      <c r="P57" s="137"/>
      <c r="Q57" s="453">
        <f>R57+T57</f>
        <v>0</v>
      </c>
      <c r="R57" s="454"/>
      <c r="S57" s="454"/>
      <c r="T57" s="455"/>
      <c r="U57" s="138"/>
      <c r="V57" s="138"/>
    </row>
    <row r="58" spans="1:22" ht="16.5" customHeight="1">
      <c r="A58" s="805"/>
      <c r="B58" s="814"/>
      <c r="C58" s="811"/>
      <c r="D58" s="1020"/>
      <c r="E58" s="778"/>
      <c r="F58" s="917"/>
      <c r="G58" s="912"/>
      <c r="H58" s="116" t="s">
        <v>18</v>
      </c>
      <c r="I58" s="125">
        <f>J58+L58</f>
        <v>0</v>
      </c>
      <c r="J58" s="126"/>
      <c r="K58" s="126"/>
      <c r="L58" s="127"/>
      <c r="M58" s="125">
        <f>N58+P58</f>
        <v>932.3</v>
      </c>
      <c r="N58" s="139"/>
      <c r="O58" s="139"/>
      <c r="P58" s="128">
        <v>932.3</v>
      </c>
      <c r="Q58" s="425">
        <f>R58+T58</f>
        <v>932.3</v>
      </c>
      <c r="R58" s="417"/>
      <c r="S58" s="417"/>
      <c r="T58" s="418">
        <v>932.3</v>
      </c>
      <c r="U58" s="129">
        <v>2050.9</v>
      </c>
      <c r="V58" s="129">
        <v>745.9</v>
      </c>
    </row>
    <row r="59" spans="1:22" ht="16.5" customHeight="1">
      <c r="A59" s="805"/>
      <c r="B59" s="814"/>
      <c r="C59" s="811"/>
      <c r="D59" s="278" t="s">
        <v>216</v>
      </c>
      <c r="E59" s="797" t="s">
        <v>140</v>
      </c>
      <c r="F59" s="917"/>
      <c r="G59" s="912"/>
      <c r="H59" s="279" t="s">
        <v>30</v>
      </c>
      <c r="I59" s="125">
        <f>J59+L59</f>
        <v>0</v>
      </c>
      <c r="J59" s="126"/>
      <c r="K59" s="126"/>
      <c r="L59" s="127"/>
      <c r="M59" s="125">
        <f>N59+P59</f>
        <v>0</v>
      </c>
      <c r="N59" s="126"/>
      <c r="O59" s="126"/>
      <c r="P59" s="128"/>
      <c r="Q59" s="425">
        <f>R59+T59</f>
        <v>0</v>
      </c>
      <c r="R59" s="417"/>
      <c r="S59" s="417"/>
      <c r="T59" s="418"/>
      <c r="U59" s="129">
        <v>227.9</v>
      </c>
      <c r="V59" s="129">
        <v>186.4</v>
      </c>
    </row>
    <row r="60" spans="1:22" ht="16.5" customHeight="1">
      <c r="A60" s="805"/>
      <c r="B60" s="814"/>
      <c r="C60" s="811"/>
      <c r="D60" s="278" t="s">
        <v>217</v>
      </c>
      <c r="E60" s="793"/>
      <c r="F60" s="917"/>
      <c r="G60" s="912"/>
      <c r="H60" s="116"/>
      <c r="I60" s="150"/>
      <c r="J60" s="148"/>
      <c r="K60" s="148"/>
      <c r="L60" s="147"/>
      <c r="M60" s="151"/>
      <c r="N60" s="148"/>
      <c r="O60" s="148"/>
      <c r="P60" s="148"/>
      <c r="Q60" s="456"/>
      <c r="R60" s="457"/>
      <c r="S60" s="457"/>
      <c r="T60" s="421"/>
      <c r="U60" s="149"/>
      <c r="V60" s="149"/>
    </row>
    <row r="61" spans="1:22" ht="19.5" customHeight="1">
      <c r="A61" s="805"/>
      <c r="B61" s="814"/>
      <c r="C61" s="811"/>
      <c r="D61" s="909" t="s">
        <v>150</v>
      </c>
      <c r="E61" s="793"/>
      <c r="F61" s="917"/>
      <c r="G61" s="912"/>
      <c r="H61" s="86"/>
      <c r="I61" s="150"/>
      <c r="J61" s="148"/>
      <c r="K61" s="148"/>
      <c r="L61" s="147"/>
      <c r="M61" s="151"/>
      <c r="N61" s="148"/>
      <c r="O61" s="148"/>
      <c r="P61" s="148"/>
      <c r="Q61" s="456"/>
      <c r="R61" s="457"/>
      <c r="S61" s="457"/>
      <c r="T61" s="421"/>
      <c r="U61" s="149"/>
      <c r="V61" s="149"/>
    </row>
    <row r="62" spans="1:22" ht="19.5" customHeight="1" thickBot="1">
      <c r="A62" s="806"/>
      <c r="B62" s="815"/>
      <c r="C62" s="812"/>
      <c r="D62" s="910"/>
      <c r="E62" s="792"/>
      <c r="F62" s="918"/>
      <c r="G62" s="913"/>
      <c r="H62" s="447" t="s">
        <v>20</v>
      </c>
      <c r="I62" s="385">
        <f aca="true" t="shared" si="19" ref="I62:V62">SUM(I57:I61)</f>
        <v>0</v>
      </c>
      <c r="J62" s="448">
        <f t="shared" si="19"/>
        <v>0</v>
      </c>
      <c r="K62" s="448">
        <f t="shared" si="19"/>
        <v>0</v>
      </c>
      <c r="L62" s="370">
        <f t="shared" si="19"/>
        <v>0</v>
      </c>
      <c r="M62" s="385">
        <f t="shared" si="19"/>
        <v>932.3</v>
      </c>
      <c r="N62" s="448">
        <f t="shared" si="19"/>
        <v>0</v>
      </c>
      <c r="O62" s="448">
        <f t="shared" si="19"/>
        <v>0</v>
      </c>
      <c r="P62" s="370">
        <f t="shared" si="19"/>
        <v>932.3</v>
      </c>
      <c r="Q62" s="449">
        <f t="shared" si="19"/>
        <v>932.3</v>
      </c>
      <c r="R62" s="400">
        <f t="shared" si="19"/>
        <v>0</v>
      </c>
      <c r="S62" s="400">
        <f t="shared" si="19"/>
        <v>0</v>
      </c>
      <c r="T62" s="363">
        <f t="shared" si="19"/>
        <v>932.3</v>
      </c>
      <c r="U62" s="372">
        <f t="shared" si="19"/>
        <v>2278.8</v>
      </c>
      <c r="V62" s="372">
        <f t="shared" si="19"/>
        <v>932.3</v>
      </c>
    </row>
    <row r="63" spans="1:22" ht="16.5" customHeight="1">
      <c r="A63" s="804" t="s">
        <v>8</v>
      </c>
      <c r="B63" s="813" t="s">
        <v>8</v>
      </c>
      <c r="C63" s="771" t="s">
        <v>15</v>
      </c>
      <c r="D63" s="1023" t="s">
        <v>56</v>
      </c>
      <c r="E63" s="823"/>
      <c r="F63" s="807" t="s">
        <v>12</v>
      </c>
      <c r="G63" s="801" t="s">
        <v>144</v>
      </c>
      <c r="H63" s="289" t="s">
        <v>11</v>
      </c>
      <c r="I63" s="208">
        <f>J63+L63</f>
        <v>60</v>
      </c>
      <c r="J63" s="209"/>
      <c r="K63" s="209"/>
      <c r="L63" s="210">
        <v>60</v>
      </c>
      <c r="M63" s="208">
        <f>N63+P63</f>
        <v>41.4</v>
      </c>
      <c r="N63" s="209"/>
      <c r="O63" s="209"/>
      <c r="P63" s="331">
        <v>41.4</v>
      </c>
      <c r="Q63" s="458">
        <f>R63+T63</f>
        <v>41.4</v>
      </c>
      <c r="R63" s="459"/>
      <c r="S63" s="459"/>
      <c r="T63" s="460">
        <f>9.7+31.7</f>
        <v>41.4</v>
      </c>
      <c r="U63" s="211">
        <v>60</v>
      </c>
      <c r="V63" s="212">
        <v>60</v>
      </c>
    </row>
    <row r="64" spans="1:22" ht="16.5" customHeight="1">
      <c r="A64" s="805"/>
      <c r="B64" s="814"/>
      <c r="C64" s="772"/>
      <c r="D64" s="938"/>
      <c r="E64" s="824"/>
      <c r="F64" s="808"/>
      <c r="G64" s="802"/>
      <c r="H64" s="290" t="s">
        <v>53</v>
      </c>
      <c r="I64" s="213">
        <f>J64+L64</f>
        <v>0</v>
      </c>
      <c r="J64" s="214"/>
      <c r="K64" s="214"/>
      <c r="L64" s="215"/>
      <c r="M64" s="213">
        <f>N64+P64</f>
        <v>0</v>
      </c>
      <c r="N64" s="214"/>
      <c r="O64" s="214"/>
      <c r="P64" s="332"/>
      <c r="Q64" s="461">
        <f>R64+T64</f>
        <v>0</v>
      </c>
      <c r="R64" s="462"/>
      <c r="S64" s="462"/>
      <c r="T64" s="463"/>
      <c r="U64" s="216"/>
      <c r="V64" s="217"/>
    </row>
    <row r="65" spans="1:22" ht="16.5" customHeight="1" thickBot="1">
      <c r="A65" s="806"/>
      <c r="B65" s="815"/>
      <c r="C65" s="773"/>
      <c r="D65" s="1024"/>
      <c r="E65" s="798"/>
      <c r="F65" s="809"/>
      <c r="G65" s="803"/>
      <c r="H65" s="436" t="s">
        <v>20</v>
      </c>
      <c r="I65" s="437">
        <f aca="true" t="shared" si="20" ref="I65:V65">SUM(I63:I64)</f>
        <v>60</v>
      </c>
      <c r="J65" s="438">
        <f t="shared" si="20"/>
        <v>0</v>
      </c>
      <c r="K65" s="439">
        <f t="shared" si="20"/>
        <v>0</v>
      </c>
      <c r="L65" s="440">
        <f t="shared" si="20"/>
        <v>60</v>
      </c>
      <c r="M65" s="437">
        <f t="shared" si="20"/>
        <v>41.4</v>
      </c>
      <c r="N65" s="438">
        <f t="shared" si="20"/>
        <v>0</v>
      </c>
      <c r="O65" s="439">
        <f t="shared" si="20"/>
        <v>0</v>
      </c>
      <c r="P65" s="441">
        <f t="shared" si="20"/>
        <v>41.4</v>
      </c>
      <c r="Q65" s="442">
        <f t="shared" si="20"/>
        <v>41.4</v>
      </c>
      <c r="R65" s="443">
        <f t="shared" si="20"/>
        <v>0</v>
      </c>
      <c r="S65" s="443">
        <f t="shared" si="20"/>
        <v>0</v>
      </c>
      <c r="T65" s="444">
        <f t="shared" si="20"/>
        <v>41.4</v>
      </c>
      <c r="U65" s="445">
        <f t="shared" si="20"/>
        <v>60</v>
      </c>
      <c r="V65" s="446">
        <f t="shared" si="20"/>
        <v>60</v>
      </c>
    </row>
    <row r="66" spans="1:22" ht="15.75" customHeight="1">
      <c r="A66" s="804" t="s">
        <v>8</v>
      </c>
      <c r="B66" s="813" t="s">
        <v>8</v>
      </c>
      <c r="C66" s="987" t="s">
        <v>39</v>
      </c>
      <c r="D66" s="990" t="s">
        <v>50</v>
      </c>
      <c r="E66" s="492" t="s">
        <v>22</v>
      </c>
      <c r="F66" s="1014" t="s">
        <v>12</v>
      </c>
      <c r="G66" s="1028">
        <v>5</v>
      </c>
      <c r="H66" s="117" t="s">
        <v>11</v>
      </c>
      <c r="I66" s="154">
        <f>J66+L66</f>
        <v>15.2</v>
      </c>
      <c r="J66" s="120">
        <v>15.2</v>
      </c>
      <c r="K66" s="120"/>
      <c r="L66" s="121"/>
      <c r="M66" s="154">
        <f>N66+P66</f>
        <v>0</v>
      </c>
      <c r="N66" s="120"/>
      <c r="O66" s="120"/>
      <c r="P66" s="121"/>
      <c r="Q66" s="419">
        <f>R66+T66</f>
        <v>0</v>
      </c>
      <c r="R66" s="454"/>
      <c r="S66" s="454"/>
      <c r="T66" s="455"/>
      <c r="U66" s="155"/>
      <c r="V66" s="155"/>
    </row>
    <row r="67" spans="1:22" ht="15.75" customHeight="1">
      <c r="A67" s="805"/>
      <c r="B67" s="814"/>
      <c r="C67" s="988"/>
      <c r="D67" s="991"/>
      <c r="E67" s="777" t="s">
        <v>137</v>
      </c>
      <c r="F67" s="1015"/>
      <c r="G67" s="1029"/>
      <c r="H67" s="111" t="s">
        <v>18</v>
      </c>
      <c r="I67" s="156">
        <f>J67+L67</f>
        <v>0</v>
      </c>
      <c r="J67" s="146"/>
      <c r="K67" s="146"/>
      <c r="L67" s="147"/>
      <c r="M67" s="156">
        <f>N67+P67</f>
        <v>0</v>
      </c>
      <c r="N67" s="146"/>
      <c r="O67" s="146"/>
      <c r="P67" s="147"/>
      <c r="Q67" s="464">
        <f>R67+T67</f>
        <v>0</v>
      </c>
      <c r="R67" s="420"/>
      <c r="S67" s="420"/>
      <c r="T67" s="421"/>
      <c r="U67" s="157"/>
      <c r="V67" s="157"/>
    </row>
    <row r="68" spans="1:22" ht="15.75" customHeight="1">
      <c r="A68" s="805"/>
      <c r="B68" s="814"/>
      <c r="C68" s="988"/>
      <c r="D68" s="991"/>
      <c r="E68" s="775"/>
      <c r="F68" s="1015"/>
      <c r="G68" s="1029"/>
      <c r="H68" s="111" t="s">
        <v>30</v>
      </c>
      <c r="I68" s="158">
        <f>J68+L68</f>
        <v>0</v>
      </c>
      <c r="J68" s="126"/>
      <c r="K68" s="126"/>
      <c r="L68" s="127"/>
      <c r="M68" s="158">
        <f>N68+P68</f>
        <v>0</v>
      </c>
      <c r="N68" s="126"/>
      <c r="O68" s="126"/>
      <c r="P68" s="127"/>
      <c r="Q68" s="416">
        <f>R68+T68</f>
        <v>0</v>
      </c>
      <c r="R68" s="417"/>
      <c r="S68" s="417"/>
      <c r="T68" s="418"/>
      <c r="U68" s="707">
        <v>200</v>
      </c>
      <c r="V68" s="159"/>
    </row>
    <row r="69" spans="1:22" ht="15.75" customHeight="1" thickBot="1">
      <c r="A69" s="806"/>
      <c r="B69" s="815"/>
      <c r="C69" s="989"/>
      <c r="D69" s="992"/>
      <c r="E69" s="776"/>
      <c r="F69" s="1016"/>
      <c r="G69" s="1030"/>
      <c r="H69" s="434" t="s">
        <v>20</v>
      </c>
      <c r="I69" s="408">
        <f aca="true" t="shared" si="21" ref="I69:V69">SUM(I66:I68)</f>
        <v>15.2</v>
      </c>
      <c r="J69" s="409">
        <f t="shared" si="21"/>
        <v>15.2</v>
      </c>
      <c r="K69" s="409">
        <f t="shared" si="21"/>
        <v>0</v>
      </c>
      <c r="L69" s="410">
        <f t="shared" si="21"/>
        <v>0</v>
      </c>
      <c r="M69" s="408">
        <f t="shared" si="21"/>
        <v>0</v>
      </c>
      <c r="N69" s="409">
        <f t="shared" si="21"/>
        <v>0</v>
      </c>
      <c r="O69" s="409">
        <f t="shared" si="21"/>
        <v>0</v>
      </c>
      <c r="P69" s="410">
        <f t="shared" si="21"/>
        <v>0</v>
      </c>
      <c r="Q69" s="408">
        <f t="shared" si="21"/>
        <v>0</v>
      </c>
      <c r="R69" s="409">
        <f t="shared" si="21"/>
        <v>0</v>
      </c>
      <c r="S69" s="409">
        <f t="shared" si="21"/>
        <v>0</v>
      </c>
      <c r="T69" s="410">
        <f t="shared" si="21"/>
        <v>0</v>
      </c>
      <c r="U69" s="435">
        <f t="shared" si="21"/>
        <v>200</v>
      </c>
      <c r="V69" s="435">
        <f t="shared" si="21"/>
        <v>0</v>
      </c>
    </row>
    <row r="70" spans="1:22" ht="15.75" customHeight="1">
      <c r="A70" s="804" t="s">
        <v>8</v>
      </c>
      <c r="B70" s="813" t="s">
        <v>8</v>
      </c>
      <c r="C70" s="810" t="s">
        <v>16</v>
      </c>
      <c r="D70" s="984" t="s">
        <v>152</v>
      </c>
      <c r="E70" s="490" t="s">
        <v>22</v>
      </c>
      <c r="F70" s="916" t="s">
        <v>12</v>
      </c>
      <c r="G70" s="911" t="s">
        <v>144</v>
      </c>
      <c r="H70" s="112" t="s">
        <v>185</v>
      </c>
      <c r="I70" s="119">
        <f>J70+L70</f>
        <v>200</v>
      </c>
      <c r="J70" s="120"/>
      <c r="K70" s="120"/>
      <c r="L70" s="121">
        <v>200</v>
      </c>
      <c r="M70" s="119">
        <f>N70+P70</f>
        <v>0</v>
      </c>
      <c r="N70" s="122"/>
      <c r="O70" s="122"/>
      <c r="P70" s="123"/>
      <c r="Q70" s="422">
        <f>R70+T70</f>
        <v>0</v>
      </c>
      <c r="R70" s="414"/>
      <c r="S70" s="414"/>
      <c r="T70" s="465"/>
      <c r="U70" s="124"/>
      <c r="V70" s="124"/>
    </row>
    <row r="71" spans="1:22" ht="15.75" customHeight="1">
      <c r="A71" s="805"/>
      <c r="B71" s="814"/>
      <c r="C71" s="811"/>
      <c r="D71" s="985"/>
      <c r="E71" s="797" t="s">
        <v>142</v>
      </c>
      <c r="F71" s="917"/>
      <c r="G71" s="912"/>
      <c r="H71" s="111" t="s">
        <v>53</v>
      </c>
      <c r="I71" s="125">
        <f>J71+L71</f>
        <v>0</v>
      </c>
      <c r="J71" s="126"/>
      <c r="K71" s="126"/>
      <c r="L71" s="127"/>
      <c r="M71" s="125">
        <f>N71+P71</f>
        <v>0</v>
      </c>
      <c r="N71" s="126"/>
      <c r="O71" s="126"/>
      <c r="P71" s="128"/>
      <c r="Q71" s="425">
        <f>R71+T71</f>
        <v>0</v>
      </c>
      <c r="R71" s="417"/>
      <c r="S71" s="417"/>
      <c r="T71" s="466"/>
      <c r="U71" s="129"/>
      <c r="V71" s="129"/>
    </row>
    <row r="72" spans="1:22" ht="15.75" customHeight="1">
      <c r="A72" s="805"/>
      <c r="B72" s="814"/>
      <c r="C72" s="811"/>
      <c r="D72" s="985"/>
      <c r="E72" s="793"/>
      <c r="F72" s="917"/>
      <c r="G72" s="912"/>
      <c r="H72" s="113" t="s">
        <v>110</v>
      </c>
      <c r="I72" s="130">
        <f>J72+L72</f>
        <v>288.9</v>
      </c>
      <c r="J72" s="131"/>
      <c r="K72" s="131"/>
      <c r="L72" s="132">
        <v>288.9</v>
      </c>
      <c r="M72" s="130">
        <f>N72+P72</f>
        <v>0</v>
      </c>
      <c r="N72" s="131"/>
      <c r="O72" s="131"/>
      <c r="P72" s="131"/>
      <c r="Q72" s="467">
        <f>R72+T72</f>
        <v>13.2</v>
      </c>
      <c r="R72" s="468"/>
      <c r="S72" s="468"/>
      <c r="T72" s="468">
        <v>13.2</v>
      </c>
      <c r="U72" s="133"/>
      <c r="V72" s="133"/>
    </row>
    <row r="73" spans="1:22" ht="15.75" customHeight="1">
      <c r="A73" s="805"/>
      <c r="B73" s="814"/>
      <c r="C73" s="811"/>
      <c r="D73" s="985"/>
      <c r="E73" s="793"/>
      <c r="F73" s="917"/>
      <c r="G73" s="912"/>
      <c r="H73" s="111" t="s">
        <v>18</v>
      </c>
      <c r="I73" s="130">
        <f>J73+L73</f>
        <v>2337.1</v>
      </c>
      <c r="J73" s="131"/>
      <c r="K73" s="131"/>
      <c r="L73" s="132">
        <v>2337.1</v>
      </c>
      <c r="M73" s="130">
        <f>N73+P73</f>
        <v>0</v>
      </c>
      <c r="N73" s="131"/>
      <c r="O73" s="131"/>
      <c r="P73" s="131"/>
      <c r="Q73" s="467">
        <f>R73+T73</f>
        <v>107.1</v>
      </c>
      <c r="R73" s="468"/>
      <c r="S73" s="468"/>
      <c r="T73" s="468">
        <v>107.1</v>
      </c>
      <c r="U73" s="133"/>
      <c r="V73" s="133"/>
    </row>
    <row r="74" spans="1:22" ht="15.75" customHeight="1" thickBot="1">
      <c r="A74" s="806"/>
      <c r="B74" s="815"/>
      <c r="C74" s="812"/>
      <c r="D74" s="986"/>
      <c r="E74" s="792"/>
      <c r="F74" s="918"/>
      <c r="G74" s="913"/>
      <c r="H74" s="401" t="s">
        <v>20</v>
      </c>
      <c r="I74" s="430">
        <f aca="true" t="shared" si="22" ref="I74:V74">SUM(I70:I73)</f>
        <v>2826</v>
      </c>
      <c r="J74" s="431">
        <f t="shared" si="22"/>
        <v>0</v>
      </c>
      <c r="K74" s="432">
        <f t="shared" si="22"/>
        <v>0</v>
      </c>
      <c r="L74" s="433">
        <f t="shared" si="22"/>
        <v>2826</v>
      </c>
      <c r="M74" s="430">
        <f t="shared" si="22"/>
        <v>0</v>
      </c>
      <c r="N74" s="431">
        <f t="shared" si="22"/>
        <v>0</v>
      </c>
      <c r="O74" s="432">
        <f t="shared" si="22"/>
        <v>0</v>
      </c>
      <c r="P74" s="433">
        <f t="shared" si="22"/>
        <v>0</v>
      </c>
      <c r="Q74" s="430">
        <f t="shared" si="22"/>
        <v>120.3</v>
      </c>
      <c r="R74" s="431">
        <f t="shared" si="22"/>
        <v>0</v>
      </c>
      <c r="S74" s="432">
        <f t="shared" si="22"/>
        <v>0</v>
      </c>
      <c r="T74" s="433">
        <f t="shared" si="22"/>
        <v>120.3</v>
      </c>
      <c r="U74" s="406">
        <f t="shared" si="22"/>
        <v>0</v>
      </c>
      <c r="V74" s="406">
        <f t="shared" si="22"/>
        <v>0</v>
      </c>
    </row>
    <row r="75" spans="1:22" ht="15.75" customHeight="1">
      <c r="A75" s="804" t="s">
        <v>8</v>
      </c>
      <c r="B75" s="813" t="s">
        <v>8</v>
      </c>
      <c r="C75" s="810" t="s">
        <v>52</v>
      </c>
      <c r="D75" s="984" t="s">
        <v>153</v>
      </c>
      <c r="E75" s="779" t="s">
        <v>22</v>
      </c>
      <c r="F75" s="916" t="s">
        <v>12</v>
      </c>
      <c r="G75" s="911" t="s">
        <v>144</v>
      </c>
      <c r="H75" s="112" t="s">
        <v>185</v>
      </c>
      <c r="I75" s="119">
        <f>J75+L75</f>
        <v>158.6</v>
      </c>
      <c r="J75" s="134"/>
      <c r="K75" s="134"/>
      <c r="L75" s="135">
        <v>158.6</v>
      </c>
      <c r="M75" s="119">
        <f>N75+P75</f>
        <v>0</v>
      </c>
      <c r="N75" s="136"/>
      <c r="O75" s="136"/>
      <c r="P75" s="137"/>
      <c r="Q75" s="422">
        <f>R75+T75</f>
        <v>0</v>
      </c>
      <c r="R75" s="414"/>
      <c r="S75" s="414"/>
      <c r="T75" s="465"/>
      <c r="U75" s="124"/>
      <c r="V75" s="138"/>
    </row>
    <row r="76" spans="1:22" ht="15.75" customHeight="1">
      <c r="A76" s="805"/>
      <c r="B76" s="814"/>
      <c r="C76" s="811"/>
      <c r="D76" s="985"/>
      <c r="E76" s="778"/>
      <c r="F76" s="917"/>
      <c r="G76" s="912"/>
      <c r="H76" s="114" t="s">
        <v>11</v>
      </c>
      <c r="I76" s="125">
        <f>J76+L76</f>
        <v>1.4</v>
      </c>
      <c r="J76" s="134">
        <v>1.4</v>
      </c>
      <c r="K76" s="134"/>
      <c r="L76" s="135"/>
      <c r="M76" s="125">
        <f>N76+P76</f>
        <v>0</v>
      </c>
      <c r="N76" s="136"/>
      <c r="O76" s="136"/>
      <c r="P76" s="137"/>
      <c r="Q76" s="425">
        <f>R76+T76</f>
        <v>0</v>
      </c>
      <c r="R76" s="454"/>
      <c r="S76" s="454"/>
      <c r="T76" s="469"/>
      <c r="U76" s="138"/>
      <c r="V76" s="138"/>
    </row>
    <row r="77" spans="1:22" ht="15.75" customHeight="1">
      <c r="A77" s="805"/>
      <c r="B77" s="814"/>
      <c r="C77" s="811"/>
      <c r="D77" s="985"/>
      <c r="E77" s="797" t="s">
        <v>142</v>
      </c>
      <c r="F77" s="917"/>
      <c r="G77" s="912"/>
      <c r="H77" s="111" t="s">
        <v>110</v>
      </c>
      <c r="I77" s="130">
        <f>J77+L77</f>
        <v>218</v>
      </c>
      <c r="J77" s="126"/>
      <c r="K77" s="126"/>
      <c r="L77" s="127">
        <v>218</v>
      </c>
      <c r="M77" s="130">
        <f>N77+P77</f>
        <v>0</v>
      </c>
      <c r="N77" s="126"/>
      <c r="O77" s="126"/>
      <c r="P77" s="128"/>
      <c r="Q77" s="467">
        <f>R77+T77</f>
        <v>0</v>
      </c>
      <c r="R77" s="417"/>
      <c r="S77" s="417"/>
      <c r="T77" s="466"/>
      <c r="U77" s="129"/>
      <c r="V77" s="129"/>
    </row>
    <row r="78" spans="1:22" ht="15.75" customHeight="1">
      <c r="A78" s="805"/>
      <c r="B78" s="814"/>
      <c r="C78" s="811"/>
      <c r="D78" s="985"/>
      <c r="E78" s="793"/>
      <c r="F78" s="917"/>
      <c r="G78" s="912"/>
      <c r="H78" s="111" t="s">
        <v>18</v>
      </c>
      <c r="I78" s="130">
        <f>J78+L78</f>
        <v>1765</v>
      </c>
      <c r="J78" s="131"/>
      <c r="K78" s="131"/>
      <c r="L78" s="132">
        <v>1765</v>
      </c>
      <c r="M78" s="130">
        <f>N78+P78</f>
        <v>0</v>
      </c>
      <c r="N78" s="131"/>
      <c r="O78" s="131"/>
      <c r="P78" s="131"/>
      <c r="Q78" s="467">
        <f>R78+T78</f>
        <v>0</v>
      </c>
      <c r="R78" s="468"/>
      <c r="S78" s="468"/>
      <c r="T78" s="468"/>
      <c r="U78" s="133"/>
      <c r="V78" s="133"/>
    </row>
    <row r="79" spans="1:22" ht="15.75" customHeight="1" thickBot="1">
      <c r="A79" s="806"/>
      <c r="B79" s="815"/>
      <c r="C79" s="812"/>
      <c r="D79" s="986"/>
      <c r="E79" s="792"/>
      <c r="F79" s="918"/>
      <c r="G79" s="913"/>
      <c r="H79" s="401" t="s">
        <v>20</v>
      </c>
      <c r="I79" s="430">
        <f aca="true" t="shared" si="23" ref="I79:V79">SUM(I75:I78)</f>
        <v>2143</v>
      </c>
      <c r="J79" s="431">
        <f t="shared" si="23"/>
        <v>1.4</v>
      </c>
      <c r="K79" s="432">
        <f t="shared" si="23"/>
        <v>0</v>
      </c>
      <c r="L79" s="433">
        <f t="shared" si="23"/>
        <v>2141.6</v>
      </c>
      <c r="M79" s="430">
        <f t="shared" si="23"/>
        <v>0</v>
      </c>
      <c r="N79" s="431">
        <f t="shared" si="23"/>
        <v>0</v>
      </c>
      <c r="O79" s="432">
        <f t="shared" si="23"/>
        <v>0</v>
      </c>
      <c r="P79" s="433">
        <f t="shared" si="23"/>
        <v>0</v>
      </c>
      <c r="Q79" s="430">
        <f t="shared" si="23"/>
        <v>0</v>
      </c>
      <c r="R79" s="431">
        <f t="shared" si="23"/>
        <v>0</v>
      </c>
      <c r="S79" s="432">
        <f t="shared" si="23"/>
        <v>0</v>
      </c>
      <c r="T79" s="433">
        <f t="shared" si="23"/>
        <v>0</v>
      </c>
      <c r="U79" s="406">
        <f t="shared" si="23"/>
        <v>0</v>
      </c>
      <c r="V79" s="406">
        <f t="shared" si="23"/>
        <v>0</v>
      </c>
    </row>
    <row r="80" spans="1:22" ht="15.75" customHeight="1">
      <c r="A80" s="804" t="s">
        <v>8</v>
      </c>
      <c r="B80" s="813" t="s">
        <v>8</v>
      </c>
      <c r="C80" s="810" t="s">
        <v>17</v>
      </c>
      <c r="D80" s="1034" t="s">
        <v>103</v>
      </c>
      <c r="E80" s="779" t="s">
        <v>22</v>
      </c>
      <c r="F80" s="916" t="s">
        <v>12</v>
      </c>
      <c r="G80" s="911" t="s">
        <v>144</v>
      </c>
      <c r="H80" s="87" t="s">
        <v>53</v>
      </c>
      <c r="I80" s="125">
        <f>J80+L80</f>
        <v>495.1</v>
      </c>
      <c r="J80" s="126"/>
      <c r="K80" s="126"/>
      <c r="L80" s="127">
        <v>495.1</v>
      </c>
      <c r="M80" s="125">
        <f>N80+P80</f>
        <v>0</v>
      </c>
      <c r="N80" s="139"/>
      <c r="O80" s="139"/>
      <c r="P80" s="128"/>
      <c r="Q80" s="425">
        <f>R80+T80</f>
        <v>0</v>
      </c>
      <c r="R80" s="414"/>
      <c r="S80" s="414"/>
      <c r="T80" s="415"/>
      <c r="U80" s="129"/>
      <c r="V80" s="124"/>
    </row>
    <row r="81" spans="1:22" ht="15.75" customHeight="1">
      <c r="A81" s="805"/>
      <c r="B81" s="814"/>
      <c r="C81" s="811"/>
      <c r="D81" s="1035"/>
      <c r="E81" s="922"/>
      <c r="F81" s="917"/>
      <c r="G81" s="912"/>
      <c r="H81" s="88"/>
      <c r="I81" s="140">
        <f>J81+L81</f>
        <v>0</v>
      </c>
      <c r="J81" s="141"/>
      <c r="K81" s="141"/>
      <c r="L81" s="132"/>
      <c r="M81" s="140">
        <f>N81+P81</f>
        <v>0</v>
      </c>
      <c r="N81" s="142"/>
      <c r="O81" s="142"/>
      <c r="P81" s="131"/>
      <c r="Q81" s="470">
        <f>R81+T81</f>
        <v>0</v>
      </c>
      <c r="R81" s="471"/>
      <c r="S81" s="471"/>
      <c r="T81" s="472"/>
      <c r="U81" s="133"/>
      <c r="V81" s="133"/>
    </row>
    <row r="82" spans="1:22" ht="15.75" customHeight="1" thickBot="1">
      <c r="A82" s="805"/>
      <c r="B82" s="814"/>
      <c r="C82" s="812"/>
      <c r="D82" s="1035"/>
      <c r="E82" s="937"/>
      <c r="F82" s="918"/>
      <c r="G82" s="913"/>
      <c r="H82" s="428" t="s">
        <v>20</v>
      </c>
      <c r="I82" s="402">
        <f>SUM(I80:I81)</f>
        <v>495.1</v>
      </c>
      <c r="J82" s="404">
        <f>SUM(J80,J81)</f>
        <v>0</v>
      </c>
      <c r="K82" s="404">
        <f>SUM(K80,K81)</f>
        <v>0</v>
      </c>
      <c r="L82" s="405">
        <f>SUM(L80,L81)</f>
        <v>495.1</v>
      </c>
      <c r="M82" s="402">
        <f>SUM(M80:M81)</f>
        <v>0</v>
      </c>
      <c r="N82" s="404">
        <f>SUM(N80,N81)</f>
        <v>0</v>
      </c>
      <c r="O82" s="404">
        <f>SUM(O80,O81)</f>
        <v>0</v>
      </c>
      <c r="P82" s="405">
        <f>SUM(P80,P81)</f>
        <v>0</v>
      </c>
      <c r="Q82" s="402">
        <f>SUM(Q80:Q81)</f>
        <v>0</v>
      </c>
      <c r="R82" s="404">
        <f>SUM(R80,R81)</f>
        <v>0</v>
      </c>
      <c r="S82" s="404">
        <f>SUM(S80,S81)</f>
        <v>0</v>
      </c>
      <c r="T82" s="405">
        <f>SUM(T80,T81)</f>
        <v>0</v>
      </c>
      <c r="U82" s="429">
        <f>SUM(U80,U81)</f>
        <v>0</v>
      </c>
      <c r="V82" s="429">
        <f>SUM(V80,V81)</f>
        <v>0</v>
      </c>
    </row>
    <row r="83" spans="1:22" ht="15.75" customHeight="1">
      <c r="A83" s="804" t="s">
        <v>8</v>
      </c>
      <c r="B83" s="813" t="s">
        <v>8</v>
      </c>
      <c r="C83" s="810" t="s">
        <v>291</v>
      </c>
      <c r="D83" s="1040" t="s">
        <v>294</v>
      </c>
      <c r="E83" s="1038" t="s">
        <v>293</v>
      </c>
      <c r="F83" s="917" t="s">
        <v>12</v>
      </c>
      <c r="G83" s="940" t="s">
        <v>144</v>
      </c>
      <c r="H83" s="236" t="s">
        <v>11</v>
      </c>
      <c r="I83" s="119">
        <f aca="true" t="shared" si="24" ref="I83:I89">J83+L83</f>
        <v>0</v>
      </c>
      <c r="J83" s="120"/>
      <c r="K83" s="120"/>
      <c r="L83" s="121"/>
      <c r="M83" s="119">
        <f aca="true" t="shared" si="25" ref="M83:M89">N83+P83</f>
        <v>0</v>
      </c>
      <c r="N83" s="230"/>
      <c r="O83" s="230"/>
      <c r="P83" s="231"/>
      <c r="Q83" s="422">
        <f aca="true" t="shared" si="26" ref="Q83:Q89">R83+T83</f>
        <v>0</v>
      </c>
      <c r="R83" s="414"/>
      <c r="S83" s="414"/>
      <c r="T83" s="415"/>
      <c r="U83" s="232"/>
      <c r="V83" s="232"/>
    </row>
    <row r="84" spans="1:22" ht="15.75" customHeight="1">
      <c r="A84" s="805"/>
      <c r="B84" s="814"/>
      <c r="C84" s="811"/>
      <c r="D84" s="1041"/>
      <c r="E84" s="1038"/>
      <c r="F84" s="917"/>
      <c r="G84" s="940"/>
      <c r="H84" s="237" t="s">
        <v>185</v>
      </c>
      <c r="I84" s="228">
        <f t="shared" si="24"/>
        <v>0</v>
      </c>
      <c r="J84" s="227"/>
      <c r="K84" s="227"/>
      <c r="L84" s="229"/>
      <c r="M84" s="228">
        <f t="shared" si="25"/>
        <v>0</v>
      </c>
      <c r="N84" s="227"/>
      <c r="O84" s="227"/>
      <c r="P84" s="229"/>
      <c r="Q84" s="425">
        <f t="shared" si="26"/>
        <v>0</v>
      </c>
      <c r="R84" s="471"/>
      <c r="S84" s="471"/>
      <c r="T84" s="472"/>
      <c r="U84" s="233"/>
      <c r="V84" s="233"/>
    </row>
    <row r="85" spans="1:22" ht="15.75" customHeight="1">
      <c r="A85" s="805"/>
      <c r="B85" s="814"/>
      <c r="C85" s="811"/>
      <c r="D85" s="743" t="s">
        <v>292</v>
      </c>
      <c r="E85" s="1038"/>
      <c r="F85" s="917"/>
      <c r="G85" s="940"/>
      <c r="H85" s="237" t="s">
        <v>18</v>
      </c>
      <c r="I85" s="228">
        <f t="shared" si="24"/>
        <v>0</v>
      </c>
      <c r="J85" s="227"/>
      <c r="K85" s="227"/>
      <c r="L85" s="229"/>
      <c r="M85" s="228">
        <f t="shared" si="25"/>
        <v>0</v>
      </c>
      <c r="N85" s="227"/>
      <c r="O85" s="227"/>
      <c r="P85" s="229"/>
      <c r="Q85" s="425">
        <f t="shared" si="26"/>
        <v>0</v>
      </c>
      <c r="R85" s="417"/>
      <c r="S85" s="417"/>
      <c r="T85" s="418"/>
      <c r="U85" s="710">
        <v>15000</v>
      </c>
      <c r="V85" s="233"/>
    </row>
    <row r="86" spans="1:22" ht="15.75" customHeight="1">
      <c r="A86" s="805"/>
      <c r="B86" s="814"/>
      <c r="C86" s="811"/>
      <c r="D86" s="223"/>
      <c r="E86" s="1038"/>
      <c r="F86" s="917"/>
      <c r="G86" s="940"/>
      <c r="H86" s="237" t="s">
        <v>53</v>
      </c>
      <c r="I86" s="228">
        <f t="shared" si="24"/>
        <v>0</v>
      </c>
      <c r="J86" s="240"/>
      <c r="K86" s="240"/>
      <c r="L86" s="241"/>
      <c r="M86" s="228">
        <f t="shared" si="25"/>
        <v>0</v>
      </c>
      <c r="N86" s="240"/>
      <c r="O86" s="240"/>
      <c r="P86" s="241"/>
      <c r="Q86" s="425">
        <f t="shared" si="26"/>
        <v>0</v>
      </c>
      <c r="R86" s="454"/>
      <c r="S86" s="454"/>
      <c r="T86" s="455"/>
      <c r="U86" s="242"/>
      <c r="V86" s="242"/>
    </row>
    <row r="87" spans="1:22" ht="15.75" customHeight="1">
      <c r="A87" s="805"/>
      <c r="B87" s="814"/>
      <c r="C87" s="811"/>
      <c r="D87" s="223"/>
      <c r="E87" s="1038"/>
      <c r="F87" s="917"/>
      <c r="G87" s="940"/>
      <c r="H87" s="238" t="s">
        <v>110</v>
      </c>
      <c r="I87" s="228">
        <f t="shared" si="24"/>
        <v>0</v>
      </c>
      <c r="J87" s="227"/>
      <c r="K87" s="227"/>
      <c r="L87" s="229"/>
      <c r="M87" s="228">
        <f t="shared" si="25"/>
        <v>0</v>
      </c>
      <c r="N87" s="227"/>
      <c r="O87" s="227"/>
      <c r="P87" s="229"/>
      <c r="Q87" s="425">
        <f t="shared" si="26"/>
        <v>0</v>
      </c>
      <c r="R87" s="417"/>
      <c r="S87" s="417"/>
      <c r="T87" s="466"/>
      <c r="U87" s="233"/>
      <c r="V87" s="233"/>
    </row>
    <row r="88" spans="1:22" ht="15.75" customHeight="1">
      <c r="A88" s="805"/>
      <c r="B88" s="814"/>
      <c r="C88" s="811"/>
      <c r="D88" s="223"/>
      <c r="E88" s="1038"/>
      <c r="F88" s="917"/>
      <c r="G88" s="940"/>
      <c r="H88" s="238" t="s">
        <v>25</v>
      </c>
      <c r="I88" s="228">
        <f t="shared" si="24"/>
        <v>0</v>
      </c>
      <c r="J88" s="227"/>
      <c r="K88" s="227"/>
      <c r="L88" s="229"/>
      <c r="M88" s="228">
        <f t="shared" si="25"/>
        <v>0</v>
      </c>
      <c r="N88" s="227"/>
      <c r="O88" s="227"/>
      <c r="P88" s="229"/>
      <c r="Q88" s="425">
        <f t="shared" si="26"/>
        <v>0</v>
      </c>
      <c r="R88" s="417"/>
      <c r="S88" s="417"/>
      <c r="T88" s="466"/>
      <c r="U88" s="233"/>
      <c r="V88" s="233"/>
    </row>
    <row r="89" spans="1:22" ht="15.75" customHeight="1">
      <c r="A89" s="805"/>
      <c r="B89" s="814"/>
      <c r="C89" s="811"/>
      <c r="D89" s="223"/>
      <c r="E89" s="1038"/>
      <c r="F89" s="917"/>
      <c r="G89" s="940"/>
      <c r="H89" s="238" t="s">
        <v>30</v>
      </c>
      <c r="I89" s="228">
        <f t="shared" si="24"/>
        <v>0</v>
      </c>
      <c r="J89" s="227"/>
      <c r="K89" s="227"/>
      <c r="L89" s="229"/>
      <c r="M89" s="228">
        <f t="shared" si="25"/>
        <v>0</v>
      </c>
      <c r="N89" s="227"/>
      <c r="O89" s="227"/>
      <c r="P89" s="229"/>
      <c r="Q89" s="425">
        <f t="shared" si="26"/>
        <v>0</v>
      </c>
      <c r="R89" s="417"/>
      <c r="S89" s="417"/>
      <c r="T89" s="466"/>
      <c r="U89" s="710">
        <v>4000</v>
      </c>
      <c r="V89" s="233"/>
    </row>
    <row r="90" spans="1:22" ht="15.75" customHeight="1" thickBot="1">
      <c r="A90" s="806"/>
      <c r="B90" s="815"/>
      <c r="C90" s="812"/>
      <c r="D90" s="260"/>
      <c r="E90" s="1039"/>
      <c r="F90" s="918"/>
      <c r="G90" s="943"/>
      <c r="H90" s="473" t="s">
        <v>20</v>
      </c>
      <c r="I90" s="474">
        <f aca="true" t="shared" si="27" ref="I90:V90">SUM(I83:I89)</f>
        <v>0</v>
      </c>
      <c r="J90" s="475">
        <f t="shared" si="27"/>
        <v>0</v>
      </c>
      <c r="K90" s="475">
        <f t="shared" si="27"/>
        <v>0</v>
      </c>
      <c r="L90" s="476">
        <f t="shared" si="27"/>
        <v>0</v>
      </c>
      <c r="M90" s="474">
        <f t="shared" si="27"/>
        <v>0</v>
      </c>
      <c r="N90" s="475">
        <f t="shared" si="27"/>
        <v>0</v>
      </c>
      <c r="O90" s="475">
        <f t="shared" si="27"/>
        <v>0</v>
      </c>
      <c r="P90" s="476">
        <f t="shared" si="27"/>
        <v>0</v>
      </c>
      <c r="Q90" s="474">
        <f t="shared" si="27"/>
        <v>0</v>
      </c>
      <c r="R90" s="475">
        <f t="shared" si="27"/>
        <v>0</v>
      </c>
      <c r="S90" s="475">
        <f t="shared" si="27"/>
        <v>0</v>
      </c>
      <c r="T90" s="476">
        <f t="shared" si="27"/>
        <v>0</v>
      </c>
      <c r="U90" s="477">
        <f>SUM(U83:U89)</f>
        <v>19000</v>
      </c>
      <c r="V90" s="477">
        <f t="shared" si="27"/>
        <v>0</v>
      </c>
    </row>
    <row r="91" spans="1:22" ht="15.75" customHeight="1" thickBot="1">
      <c r="A91" s="25" t="s">
        <v>8</v>
      </c>
      <c r="B91" s="7" t="s">
        <v>8</v>
      </c>
      <c r="C91" s="825" t="s">
        <v>19</v>
      </c>
      <c r="D91" s="826"/>
      <c r="E91" s="826"/>
      <c r="F91" s="826"/>
      <c r="G91" s="826"/>
      <c r="H91" s="826"/>
      <c r="I91" s="164">
        <f aca="true" t="shared" si="28" ref="I91:V91">SUM(I90,I82,I79,I74,I69,I65,I62,I56,I51,I43,I35,I27,I19)</f>
        <v>22363.199999999997</v>
      </c>
      <c r="J91" s="343">
        <f t="shared" si="28"/>
        <v>16.599999999999998</v>
      </c>
      <c r="K91" s="343">
        <f t="shared" si="28"/>
        <v>0</v>
      </c>
      <c r="L91" s="342">
        <f t="shared" si="28"/>
        <v>22346.6</v>
      </c>
      <c r="M91" s="164">
        <f t="shared" si="28"/>
        <v>19804.1</v>
      </c>
      <c r="N91" s="343">
        <f t="shared" si="28"/>
        <v>0</v>
      </c>
      <c r="O91" s="343">
        <f t="shared" si="28"/>
        <v>0</v>
      </c>
      <c r="P91" s="342">
        <f t="shared" si="28"/>
        <v>19804.1</v>
      </c>
      <c r="Q91" s="164">
        <f t="shared" si="28"/>
        <v>19524.399999999998</v>
      </c>
      <c r="R91" s="343">
        <f t="shared" si="28"/>
        <v>0</v>
      </c>
      <c r="S91" s="343">
        <f t="shared" si="28"/>
        <v>0</v>
      </c>
      <c r="T91" s="346">
        <f t="shared" si="28"/>
        <v>19524.399999999998</v>
      </c>
      <c r="U91" s="768">
        <f>SUM(U90,U82,U79,U74,U69,U65,U62,U56,U51,U43,U35,U27,U19)</f>
        <v>47727.4</v>
      </c>
      <c r="V91" s="769">
        <f t="shared" si="28"/>
        <v>19143.3</v>
      </c>
    </row>
    <row r="92" spans="1:22" ht="15.75" customHeight="1" thickBot="1">
      <c r="A92" s="26" t="s">
        <v>8</v>
      </c>
      <c r="B92" s="23" t="s">
        <v>9</v>
      </c>
      <c r="C92" s="1001" t="s">
        <v>49</v>
      </c>
      <c r="D92" s="1002"/>
      <c r="E92" s="1002"/>
      <c r="F92" s="1002"/>
      <c r="G92" s="1002"/>
      <c r="H92" s="1002"/>
      <c r="I92" s="1003"/>
      <c r="J92" s="1003"/>
      <c r="K92" s="1003"/>
      <c r="L92" s="1003"/>
      <c r="M92" s="1003"/>
      <c r="N92" s="1003"/>
      <c r="O92" s="1003"/>
      <c r="P92" s="1003"/>
      <c r="Q92" s="1003"/>
      <c r="R92" s="1003"/>
      <c r="S92" s="1003"/>
      <c r="T92" s="1003"/>
      <c r="U92" s="1002"/>
      <c r="V92" s="1004"/>
    </row>
    <row r="93" spans="1:22" ht="15.75" customHeight="1">
      <c r="A93" s="998" t="s">
        <v>8</v>
      </c>
      <c r="B93" s="899" t="s">
        <v>9</v>
      </c>
      <c r="C93" s="995" t="s">
        <v>8</v>
      </c>
      <c r="D93" s="1031" t="s">
        <v>218</v>
      </c>
      <c r="E93" s="493" t="s">
        <v>22</v>
      </c>
      <c r="F93" s="1025" t="s">
        <v>12</v>
      </c>
      <c r="G93" s="801" t="s">
        <v>144</v>
      </c>
      <c r="H93" s="297" t="s">
        <v>11</v>
      </c>
      <c r="I93" s="119">
        <f>J93+L93</f>
        <v>0</v>
      </c>
      <c r="J93" s="120"/>
      <c r="K93" s="120"/>
      <c r="L93" s="121"/>
      <c r="M93" s="154">
        <f>N93+P93</f>
        <v>0</v>
      </c>
      <c r="N93" s="120"/>
      <c r="O93" s="120"/>
      <c r="P93" s="121"/>
      <c r="Q93" s="413">
        <f>R93+T93</f>
        <v>0</v>
      </c>
      <c r="R93" s="414"/>
      <c r="S93" s="414"/>
      <c r="T93" s="415"/>
      <c r="U93" s="298"/>
      <c r="V93" s="299"/>
    </row>
    <row r="94" spans="1:22" ht="15.75" customHeight="1">
      <c r="A94" s="999"/>
      <c r="B94" s="900"/>
      <c r="C94" s="996"/>
      <c r="D94" s="1032"/>
      <c r="E94" s="1005" t="s">
        <v>136</v>
      </c>
      <c r="F94" s="1026"/>
      <c r="G94" s="802"/>
      <c r="H94" s="280" t="s">
        <v>185</v>
      </c>
      <c r="I94" s="125">
        <f>J94+L94</f>
        <v>0</v>
      </c>
      <c r="J94" s="126"/>
      <c r="K94" s="126"/>
      <c r="L94" s="127"/>
      <c r="M94" s="158">
        <f>N94+P94</f>
        <v>69</v>
      </c>
      <c r="N94" s="126"/>
      <c r="O94" s="126"/>
      <c r="P94" s="127">
        <v>69</v>
      </c>
      <c r="Q94" s="416">
        <f>R94+T94</f>
        <v>69</v>
      </c>
      <c r="R94" s="417"/>
      <c r="S94" s="417"/>
      <c r="T94" s="418">
        <v>69</v>
      </c>
      <c r="U94" s="160"/>
      <c r="V94" s="161"/>
    </row>
    <row r="95" spans="1:22" ht="15.75" customHeight="1">
      <c r="A95" s="999"/>
      <c r="B95" s="900"/>
      <c r="C95" s="996"/>
      <c r="D95" s="1032"/>
      <c r="E95" s="1006"/>
      <c r="F95" s="1026"/>
      <c r="G95" s="802"/>
      <c r="H95" s="300" t="s">
        <v>18</v>
      </c>
      <c r="I95" s="143">
        <f>J95+L95</f>
        <v>5834.9</v>
      </c>
      <c r="J95" s="146"/>
      <c r="K95" s="146"/>
      <c r="L95" s="147">
        <v>5834.9</v>
      </c>
      <c r="M95" s="301">
        <f>N95+P95</f>
        <v>9954</v>
      </c>
      <c r="N95" s="146"/>
      <c r="O95" s="146"/>
      <c r="P95" s="147">
        <v>9954</v>
      </c>
      <c r="Q95" s="419">
        <f>R95+T95</f>
        <v>9954</v>
      </c>
      <c r="R95" s="420"/>
      <c r="S95" s="420"/>
      <c r="T95" s="421">
        <v>9954</v>
      </c>
      <c r="U95" s="302"/>
      <c r="V95" s="303"/>
    </row>
    <row r="96" spans="1:22" ht="15.75" customHeight="1" thickBot="1">
      <c r="A96" s="1000"/>
      <c r="B96" s="901"/>
      <c r="C96" s="997"/>
      <c r="D96" s="1033"/>
      <c r="E96" s="1007"/>
      <c r="F96" s="1027"/>
      <c r="G96" s="803"/>
      <c r="H96" s="407" t="s">
        <v>20</v>
      </c>
      <c r="I96" s="408">
        <f aca="true" t="shared" si="29" ref="I96:V96">SUM(I93:I95)</f>
        <v>5834.9</v>
      </c>
      <c r="J96" s="409">
        <f t="shared" si="29"/>
        <v>0</v>
      </c>
      <c r="K96" s="409">
        <f t="shared" si="29"/>
        <v>0</v>
      </c>
      <c r="L96" s="410">
        <f t="shared" si="29"/>
        <v>5834.9</v>
      </c>
      <c r="M96" s="408">
        <f t="shared" si="29"/>
        <v>10023</v>
      </c>
      <c r="N96" s="409">
        <f t="shared" si="29"/>
        <v>0</v>
      </c>
      <c r="O96" s="409">
        <f t="shared" si="29"/>
        <v>0</v>
      </c>
      <c r="P96" s="410">
        <f t="shared" si="29"/>
        <v>10023</v>
      </c>
      <c r="Q96" s="408">
        <f t="shared" si="29"/>
        <v>10023</v>
      </c>
      <c r="R96" s="409">
        <f t="shared" si="29"/>
        <v>0</v>
      </c>
      <c r="S96" s="409">
        <f t="shared" si="29"/>
        <v>0</v>
      </c>
      <c r="T96" s="410">
        <f t="shared" si="29"/>
        <v>10023</v>
      </c>
      <c r="U96" s="411">
        <f t="shared" si="29"/>
        <v>0</v>
      </c>
      <c r="V96" s="412">
        <f t="shared" si="29"/>
        <v>0</v>
      </c>
    </row>
    <row r="97" spans="1:22" ht="15.75" customHeight="1">
      <c r="A97" s="804" t="s">
        <v>8</v>
      </c>
      <c r="B97" s="813" t="s">
        <v>9</v>
      </c>
      <c r="C97" s="810" t="s">
        <v>9</v>
      </c>
      <c r="D97" s="933" t="s">
        <v>285</v>
      </c>
      <c r="E97" s="490" t="s">
        <v>22</v>
      </c>
      <c r="F97" s="916" t="s">
        <v>12</v>
      </c>
      <c r="G97" s="911" t="s">
        <v>144</v>
      </c>
      <c r="H97" s="87" t="s">
        <v>11</v>
      </c>
      <c r="I97" s="119">
        <f>J97+L97</f>
        <v>0</v>
      </c>
      <c r="J97" s="152"/>
      <c r="K97" s="152"/>
      <c r="L97" s="153"/>
      <c r="M97" s="119">
        <f>N97+P97</f>
        <v>0</v>
      </c>
      <c r="N97" s="139"/>
      <c r="O97" s="139"/>
      <c r="P97" s="144"/>
      <c r="Q97" s="422">
        <f>R97+T97</f>
        <v>0</v>
      </c>
      <c r="R97" s="423"/>
      <c r="S97" s="423"/>
      <c r="T97" s="424"/>
      <c r="U97" s="124"/>
      <c r="V97" s="124"/>
    </row>
    <row r="98" spans="1:22" ht="15.75" customHeight="1">
      <c r="A98" s="805"/>
      <c r="B98" s="814"/>
      <c r="C98" s="811"/>
      <c r="D98" s="934"/>
      <c r="E98" s="1037" t="s">
        <v>139</v>
      </c>
      <c r="F98" s="917"/>
      <c r="G98" s="912"/>
      <c r="H98" s="87" t="s">
        <v>53</v>
      </c>
      <c r="I98" s="125">
        <f>J98+L98</f>
        <v>0</v>
      </c>
      <c r="J98" s="126"/>
      <c r="K98" s="126"/>
      <c r="L98" s="127"/>
      <c r="M98" s="125">
        <f>N98+P98</f>
        <v>3000</v>
      </c>
      <c r="N98" s="139"/>
      <c r="O98" s="139"/>
      <c r="P98" s="144">
        <v>3000</v>
      </c>
      <c r="Q98" s="425">
        <f>R98+T98</f>
        <v>1300</v>
      </c>
      <c r="R98" s="417"/>
      <c r="S98" s="417"/>
      <c r="T98" s="418">
        <f>3000-1700</f>
        <v>1300</v>
      </c>
      <c r="U98" s="145">
        <v>6001.4</v>
      </c>
      <c r="V98" s="129"/>
    </row>
    <row r="99" spans="1:22" ht="15.75" customHeight="1" thickBot="1">
      <c r="A99" s="806"/>
      <c r="B99" s="815"/>
      <c r="C99" s="812"/>
      <c r="D99" s="935"/>
      <c r="E99" s="1018"/>
      <c r="F99" s="918"/>
      <c r="G99" s="913"/>
      <c r="H99" s="401" t="s">
        <v>20</v>
      </c>
      <c r="I99" s="402">
        <f aca="true" t="shared" si="30" ref="I99:V99">SUM(I97:I98)</f>
        <v>0</v>
      </c>
      <c r="J99" s="403">
        <f t="shared" si="30"/>
        <v>0</v>
      </c>
      <c r="K99" s="404">
        <f t="shared" si="30"/>
        <v>0</v>
      </c>
      <c r="L99" s="405">
        <f t="shared" si="30"/>
        <v>0</v>
      </c>
      <c r="M99" s="402">
        <f t="shared" si="30"/>
        <v>3000</v>
      </c>
      <c r="N99" s="403">
        <f t="shared" si="30"/>
        <v>0</v>
      </c>
      <c r="O99" s="404">
        <f t="shared" si="30"/>
        <v>0</v>
      </c>
      <c r="P99" s="405">
        <f t="shared" si="30"/>
        <v>3000</v>
      </c>
      <c r="Q99" s="402">
        <f t="shared" si="30"/>
        <v>1300</v>
      </c>
      <c r="R99" s="403">
        <f t="shared" si="30"/>
        <v>0</v>
      </c>
      <c r="S99" s="404">
        <f t="shared" si="30"/>
        <v>0</v>
      </c>
      <c r="T99" s="405">
        <f t="shared" si="30"/>
        <v>1300</v>
      </c>
      <c r="U99" s="406">
        <f t="shared" si="30"/>
        <v>6001.4</v>
      </c>
      <c r="V99" s="406">
        <f t="shared" si="30"/>
        <v>0</v>
      </c>
    </row>
    <row r="100" spans="1:22" ht="15.75" customHeight="1" thickBot="1">
      <c r="A100" s="25" t="s">
        <v>8</v>
      </c>
      <c r="B100" s="7" t="s">
        <v>9</v>
      </c>
      <c r="C100" s="781" t="s">
        <v>19</v>
      </c>
      <c r="D100" s="782"/>
      <c r="E100" s="782"/>
      <c r="F100" s="782"/>
      <c r="G100" s="782"/>
      <c r="H100" s="782"/>
      <c r="I100" s="164">
        <f>SUM(I99,I96)</f>
        <v>5834.9</v>
      </c>
      <c r="J100" s="343">
        <f aca="true" t="shared" si="31" ref="J100:V100">SUM(J99,J96)</f>
        <v>0</v>
      </c>
      <c r="K100" s="343">
        <f t="shared" si="31"/>
        <v>0</v>
      </c>
      <c r="L100" s="344">
        <f t="shared" si="31"/>
        <v>5834.9</v>
      </c>
      <c r="M100" s="342">
        <f t="shared" si="31"/>
        <v>13023</v>
      </c>
      <c r="N100" s="343">
        <f t="shared" si="31"/>
        <v>0</v>
      </c>
      <c r="O100" s="343">
        <f t="shared" si="31"/>
        <v>0</v>
      </c>
      <c r="P100" s="345">
        <f t="shared" si="31"/>
        <v>13023</v>
      </c>
      <c r="Q100" s="164">
        <f t="shared" si="31"/>
        <v>11323</v>
      </c>
      <c r="R100" s="343">
        <f t="shared" si="31"/>
        <v>0</v>
      </c>
      <c r="S100" s="343">
        <f t="shared" si="31"/>
        <v>0</v>
      </c>
      <c r="T100" s="344">
        <f t="shared" si="31"/>
        <v>11323</v>
      </c>
      <c r="U100" s="342">
        <f t="shared" si="31"/>
        <v>6001.4</v>
      </c>
      <c r="V100" s="770">
        <f t="shared" si="31"/>
        <v>0</v>
      </c>
    </row>
    <row r="101" spans="1:22" ht="15.75" customHeight="1" thickBot="1">
      <c r="A101" s="6" t="s">
        <v>8</v>
      </c>
      <c r="B101" s="7" t="s">
        <v>10</v>
      </c>
      <c r="C101" s="816" t="s">
        <v>179</v>
      </c>
      <c r="D101" s="817"/>
      <c r="E101" s="817"/>
      <c r="F101" s="817"/>
      <c r="G101" s="817"/>
      <c r="H101" s="817"/>
      <c r="I101" s="818"/>
      <c r="J101" s="818"/>
      <c r="K101" s="818"/>
      <c r="L101" s="818"/>
      <c r="M101" s="818"/>
      <c r="N101" s="818"/>
      <c r="O101" s="818"/>
      <c r="P101" s="818"/>
      <c r="Q101" s="818"/>
      <c r="R101" s="818"/>
      <c r="S101" s="818"/>
      <c r="T101" s="818"/>
      <c r="U101" s="817"/>
      <c r="V101" s="819"/>
    </row>
    <row r="102" spans="1:22" ht="16.5" customHeight="1">
      <c r="A102" s="804" t="s">
        <v>8</v>
      </c>
      <c r="B102" s="813" t="s">
        <v>10</v>
      </c>
      <c r="C102" s="771" t="s">
        <v>8</v>
      </c>
      <c r="D102" s="277" t="s">
        <v>173</v>
      </c>
      <c r="E102" s="823"/>
      <c r="F102" s="649" t="s">
        <v>12</v>
      </c>
      <c r="G102" s="801" t="s">
        <v>145</v>
      </c>
      <c r="H102" s="291" t="s">
        <v>11</v>
      </c>
      <c r="I102" s="184">
        <f>J102+L102</f>
        <v>265.7</v>
      </c>
      <c r="J102" s="162">
        <v>265.7</v>
      </c>
      <c r="K102" s="162"/>
      <c r="L102" s="163"/>
      <c r="M102" s="184">
        <f>N102+P102</f>
        <v>6215.3</v>
      </c>
      <c r="N102" s="166">
        <f>6145.3+70</f>
        <v>6215.3</v>
      </c>
      <c r="O102" s="166"/>
      <c r="P102" s="261"/>
      <c r="Q102" s="374">
        <f>R102+T102</f>
        <v>1110.8</v>
      </c>
      <c r="R102" s="375">
        <f>179+45.2+871.6+15</f>
        <v>1110.8</v>
      </c>
      <c r="S102" s="375"/>
      <c r="T102" s="376"/>
      <c r="U102" s="169">
        <f>179+45.2+303</f>
        <v>527.2</v>
      </c>
      <c r="V102" s="169">
        <f>179+45.2+303</f>
        <v>527.2</v>
      </c>
    </row>
    <row r="103" spans="1:22" ht="16.5" customHeight="1">
      <c r="A103" s="805"/>
      <c r="B103" s="814"/>
      <c r="C103" s="772"/>
      <c r="D103" s="264" t="s">
        <v>219</v>
      </c>
      <c r="E103" s="824"/>
      <c r="F103" s="650" t="s">
        <v>39</v>
      </c>
      <c r="G103" s="802"/>
      <c r="H103" s="280" t="s">
        <v>11</v>
      </c>
      <c r="I103" s="187">
        <f>J103+L103</f>
        <v>50</v>
      </c>
      <c r="J103" s="196">
        <v>50</v>
      </c>
      <c r="K103" s="196"/>
      <c r="L103" s="197"/>
      <c r="M103" s="187">
        <f>N103+P103</f>
        <v>1969</v>
      </c>
      <c r="N103" s="193">
        <v>1969</v>
      </c>
      <c r="O103" s="193"/>
      <c r="P103" s="194"/>
      <c r="Q103" s="377">
        <f>R103+T103</f>
        <v>45</v>
      </c>
      <c r="R103" s="392">
        <v>45</v>
      </c>
      <c r="S103" s="392"/>
      <c r="T103" s="393"/>
      <c r="U103" s="186">
        <v>45</v>
      </c>
      <c r="V103" s="186">
        <v>45</v>
      </c>
    </row>
    <row r="104" spans="1:22" ht="16.5" customHeight="1">
      <c r="A104" s="805"/>
      <c r="B104" s="814"/>
      <c r="C104" s="772"/>
      <c r="D104" s="264" t="s">
        <v>220</v>
      </c>
      <c r="E104" s="824"/>
      <c r="F104" s="651" t="s">
        <v>16</v>
      </c>
      <c r="G104" s="802"/>
      <c r="H104" s="279" t="s">
        <v>11</v>
      </c>
      <c r="I104" s="187">
        <f>J104+L104</f>
        <v>15495.7</v>
      </c>
      <c r="J104" s="196">
        <v>15495.7</v>
      </c>
      <c r="K104" s="196"/>
      <c r="L104" s="197"/>
      <c r="M104" s="187">
        <f>N104+P104</f>
        <v>14584.7</v>
      </c>
      <c r="N104" s="196">
        <v>14584.7</v>
      </c>
      <c r="O104" s="196"/>
      <c r="P104" s="262"/>
      <c r="Q104" s="377">
        <f>R104+T104</f>
        <v>16265.9</v>
      </c>
      <c r="R104" s="392">
        <f>13752.5+2513.4</f>
        <v>16265.9</v>
      </c>
      <c r="S104" s="392"/>
      <c r="T104" s="393"/>
      <c r="U104" s="186">
        <v>15500</v>
      </c>
      <c r="V104" s="186">
        <v>15500</v>
      </c>
    </row>
    <row r="105" spans="1:22" ht="16.5" customHeight="1">
      <c r="A105" s="805"/>
      <c r="B105" s="814"/>
      <c r="C105" s="772"/>
      <c r="D105" s="264" t="s">
        <v>221</v>
      </c>
      <c r="E105" s="824"/>
      <c r="F105" s="651"/>
      <c r="G105" s="802"/>
      <c r="H105" s="286"/>
      <c r="I105" s="185"/>
      <c r="J105" s="185"/>
      <c r="K105" s="185"/>
      <c r="L105" s="172"/>
      <c r="M105" s="185"/>
      <c r="N105" s="185"/>
      <c r="O105" s="185"/>
      <c r="P105" s="200"/>
      <c r="Q105" s="426"/>
      <c r="R105" s="395"/>
      <c r="S105" s="395"/>
      <c r="T105" s="397"/>
      <c r="U105" s="173"/>
      <c r="V105" s="173"/>
    </row>
    <row r="106" spans="1:22" ht="27" customHeight="1">
      <c r="A106" s="805"/>
      <c r="B106" s="814"/>
      <c r="C106" s="772"/>
      <c r="D106" s="264" t="s">
        <v>222</v>
      </c>
      <c r="E106" s="824"/>
      <c r="F106" s="651"/>
      <c r="G106" s="802"/>
      <c r="H106" s="286"/>
      <c r="I106" s="185"/>
      <c r="J106" s="185"/>
      <c r="K106" s="185"/>
      <c r="L106" s="172"/>
      <c r="M106" s="185"/>
      <c r="N106" s="185"/>
      <c r="O106" s="185"/>
      <c r="P106" s="200"/>
      <c r="Q106" s="426"/>
      <c r="R106" s="395"/>
      <c r="S106" s="395"/>
      <c r="T106" s="397"/>
      <c r="U106" s="173"/>
      <c r="V106" s="173"/>
    </row>
    <row r="107" spans="1:22" ht="15.75" customHeight="1">
      <c r="A107" s="805"/>
      <c r="B107" s="814"/>
      <c r="C107" s="772"/>
      <c r="D107" s="288" t="s">
        <v>183</v>
      </c>
      <c r="E107" s="824"/>
      <c r="F107" s="651"/>
      <c r="G107" s="802"/>
      <c r="H107" s="286"/>
      <c r="I107" s="185"/>
      <c r="J107" s="185"/>
      <c r="K107" s="185"/>
      <c r="L107" s="172"/>
      <c r="M107" s="185"/>
      <c r="N107" s="185"/>
      <c r="O107" s="185"/>
      <c r="P107" s="263"/>
      <c r="Q107" s="426"/>
      <c r="R107" s="395"/>
      <c r="S107" s="395"/>
      <c r="T107" s="427"/>
      <c r="U107" s="173"/>
      <c r="V107" s="173"/>
    </row>
    <row r="108" spans="1:22" ht="15.75" customHeight="1" thickBot="1">
      <c r="A108" s="806"/>
      <c r="B108" s="815"/>
      <c r="C108" s="773"/>
      <c r="E108" s="798"/>
      <c r="F108" s="652"/>
      <c r="G108" s="803"/>
      <c r="H108" s="360" t="s">
        <v>20</v>
      </c>
      <c r="I108" s="367">
        <f>SUM(I102:I107)</f>
        <v>15811.400000000001</v>
      </c>
      <c r="J108" s="369">
        <f aca="true" t="shared" si="32" ref="J108:V108">SUM(J102:J107)</f>
        <v>15811.400000000001</v>
      </c>
      <c r="K108" s="369">
        <f t="shared" si="32"/>
        <v>0</v>
      </c>
      <c r="L108" s="384">
        <f t="shared" si="32"/>
        <v>0</v>
      </c>
      <c r="M108" s="367">
        <f t="shared" si="32"/>
        <v>22769</v>
      </c>
      <c r="N108" s="369">
        <f t="shared" si="32"/>
        <v>22769</v>
      </c>
      <c r="O108" s="369">
        <f t="shared" si="32"/>
        <v>0</v>
      </c>
      <c r="P108" s="384">
        <f t="shared" si="32"/>
        <v>0</v>
      </c>
      <c r="Q108" s="367">
        <f t="shared" si="32"/>
        <v>17421.7</v>
      </c>
      <c r="R108" s="369">
        <f t="shared" si="32"/>
        <v>17421.7</v>
      </c>
      <c r="S108" s="369">
        <f t="shared" si="32"/>
        <v>0</v>
      </c>
      <c r="T108" s="384">
        <f t="shared" si="32"/>
        <v>0</v>
      </c>
      <c r="U108" s="367">
        <f t="shared" si="32"/>
        <v>16072.2</v>
      </c>
      <c r="V108" s="367">
        <f t="shared" si="32"/>
        <v>16072.2</v>
      </c>
    </row>
    <row r="109" spans="1:22" ht="15.75" customHeight="1">
      <c r="A109" s="804" t="s">
        <v>8</v>
      </c>
      <c r="B109" s="813" t="s">
        <v>10</v>
      </c>
      <c r="C109" s="791" t="s">
        <v>9</v>
      </c>
      <c r="D109" s="1034" t="s">
        <v>54</v>
      </c>
      <c r="E109" s="827" t="s">
        <v>22</v>
      </c>
      <c r="F109" s="840" t="s">
        <v>12</v>
      </c>
      <c r="G109" s="850" t="s">
        <v>144</v>
      </c>
      <c r="H109" s="285" t="s">
        <v>11</v>
      </c>
      <c r="I109" s="184">
        <f>J109+L109</f>
        <v>0</v>
      </c>
      <c r="J109" s="162"/>
      <c r="K109" s="162"/>
      <c r="L109" s="163"/>
      <c r="M109" s="184">
        <f>N109+P109</f>
        <v>0</v>
      </c>
      <c r="N109" s="162"/>
      <c r="O109" s="162"/>
      <c r="P109" s="199"/>
      <c r="Q109" s="374">
        <f>R109+T109</f>
        <v>0</v>
      </c>
      <c r="R109" s="375"/>
      <c r="S109" s="375"/>
      <c r="T109" s="376"/>
      <c r="U109" s="169"/>
      <c r="V109" s="169"/>
    </row>
    <row r="110" spans="1:22" ht="15.75" customHeight="1">
      <c r="A110" s="805"/>
      <c r="B110" s="814"/>
      <c r="C110" s="787"/>
      <c r="D110" s="1035"/>
      <c r="E110" s="828"/>
      <c r="F110" s="841"/>
      <c r="G110" s="851"/>
      <c r="H110" s="279" t="s">
        <v>18</v>
      </c>
      <c r="I110" s="185">
        <f>J110+L110</f>
        <v>0</v>
      </c>
      <c r="J110" s="171"/>
      <c r="K110" s="171"/>
      <c r="L110" s="172"/>
      <c r="M110" s="185">
        <f>N110+P110</f>
        <v>7875</v>
      </c>
      <c r="N110" s="171"/>
      <c r="O110" s="171"/>
      <c r="P110" s="200">
        <v>7875</v>
      </c>
      <c r="Q110" s="426">
        <f>R110+T110</f>
        <v>7875</v>
      </c>
      <c r="R110" s="396"/>
      <c r="S110" s="396"/>
      <c r="T110" s="397">
        <v>7875</v>
      </c>
      <c r="U110" s="173"/>
      <c r="V110" s="173"/>
    </row>
    <row r="111" spans="1:22" ht="15.75" customHeight="1">
      <c r="A111" s="805"/>
      <c r="B111" s="814"/>
      <c r="C111" s="787"/>
      <c r="D111" s="1035"/>
      <c r="E111" s="828"/>
      <c r="F111" s="841"/>
      <c r="G111" s="851"/>
      <c r="H111" s="283" t="s">
        <v>30</v>
      </c>
      <c r="I111" s="187">
        <f>J111+L111</f>
        <v>0</v>
      </c>
      <c r="J111" s="196"/>
      <c r="K111" s="196"/>
      <c r="L111" s="197"/>
      <c r="M111" s="187">
        <f>N111+P111</f>
        <v>3289.7</v>
      </c>
      <c r="N111" s="196"/>
      <c r="O111" s="196"/>
      <c r="P111" s="262">
        <v>3289.7</v>
      </c>
      <c r="Q111" s="377">
        <f>R111+T111</f>
        <v>3289.7</v>
      </c>
      <c r="R111" s="392"/>
      <c r="S111" s="392"/>
      <c r="T111" s="393">
        <v>3289.7</v>
      </c>
      <c r="U111" s="186"/>
      <c r="V111" s="186"/>
    </row>
    <row r="112" spans="1:22" ht="15.75" customHeight="1" thickBot="1">
      <c r="A112" s="806"/>
      <c r="B112" s="815"/>
      <c r="C112" s="780"/>
      <c r="D112" s="1036"/>
      <c r="E112" s="829"/>
      <c r="F112" s="842"/>
      <c r="G112" s="852"/>
      <c r="H112" s="360" t="s">
        <v>20</v>
      </c>
      <c r="I112" s="361">
        <f aca="true" t="shared" si="33" ref="I112:V112">SUM(I109:I111)</f>
        <v>0</v>
      </c>
      <c r="J112" s="399">
        <f t="shared" si="33"/>
        <v>0</v>
      </c>
      <c r="K112" s="399">
        <f t="shared" si="33"/>
        <v>0</v>
      </c>
      <c r="L112" s="363">
        <f t="shared" si="33"/>
        <v>0</v>
      </c>
      <c r="M112" s="361">
        <f t="shared" si="33"/>
        <v>11164.7</v>
      </c>
      <c r="N112" s="399">
        <f t="shared" si="33"/>
        <v>0</v>
      </c>
      <c r="O112" s="399">
        <f t="shared" si="33"/>
        <v>0</v>
      </c>
      <c r="P112" s="400">
        <f t="shared" si="33"/>
        <v>11164.7</v>
      </c>
      <c r="Q112" s="361">
        <f t="shared" si="33"/>
        <v>11164.7</v>
      </c>
      <c r="R112" s="399">
        <f t="shared" si="33"/>
        <v>0</v>
      </c>
      <c r="S112" s="399">
        <f t="shared" si="33"/>
        <v>0</v>
      </c>
      <c r="T112" s="363">
        <f t="shared" si="33"/>
        <v>11164.7</v>
      </c>
      <c r="U112" s="372">
        <f t="shared" si="33"/>
        <v>0</v>
      </c>
      <c r="V112" s="372">
        <f t="shared" si="33"/>
        <v>0</v>
      </c>
    </row>
    <row r="113" spans="1:22" ht="15.75" customHeight="1" thickBot="1">
      <c r="A113" s="6" t="s">
        <v>8</v>
      </c>
      <c r="B113" s="7" t="s">
        <v>10</v>
      </c>
      <c r="C113" s="781" t="s">
        <v>19</v>
      </c>
      <c r="D113" s="782"/>
      <c r="E113" s="782"/>
      <c r="F113" s="782"/>
      <c r="G113" s="782"/>
      <c r="H113" s="782"/>
      <c r="I113" s="271">
        <f>SUM(I112,I108)</f>
        <v>15811.400000000001</v>
      </c>
      <c r="J113" s="339">
        <f aca="true" t="shared" si="34" ref="J113:V113">SUM(J112,J108)</f>
        <v>15811.400000000001</v>
      </c>
      <c r="K113" s="339">
        <f t="shared" si="34"/>
        <v>0</v>
      </c>
      <c r="L113" s="341">
        <f t="shared" si="34"/>
        <v>0</v>
      </c>
      <c r="M113" s="271">
        <f t="shared" si="34"/>
        <v>33933.7</v>
      </c>
      <c r="N113" s="339">
        <f t="shared" si="34"/>
        <v>22769</v>
      </c>
      <c r="O113" s="339">
        <f t="shared" si="34"/>
        <v>0</v>
      </c>
      <c r="P113" s="341">
        <f t="shared" si="34"/>
        <v>11164.7</v>
      </c>
      <c r="Q113" s="271">
        <f t="shared" si="34"/>
        <v>28586.4</v>
      </c>
      <c r="R113" s="339">
        <f t="shared" si="34"/>
        <v>17421.7</v>
      </c>
      <c r="S113" s="339">
        <f t="shared" si="34"/>
        <v>0</v>
      </c>
      <c r="T113" s="340">
        <f t="shared" si="34"/>
        <v>11164.7</v>
      </c>
      <c r="U113" s="338">
        <f t="shared" si="34"/>
        <v>16072.2</v>
      </c>
      <c r="V113" s="271">
        <f t="shared" si="34"/>
        <v>16072.2</v>
      </c>
    </row>
    <row r="114" spans="1:22" ht="15.75" customHeight="1" thickBot="1">
      <c r="A114" s="6" t="s">
        <v>8</v>
      </c>
      <c r="B114" s="7" t="s">
        <v>12</v>
      </c>
      <c r="C114" s="816" t="s">
        <v>180</v>
      </c>
      <c r="D114" s="817"/>
      <c r="E114" s="817"/>
      <c r="F114" s="817"/>
      <c r="G114" s="817"/>
      <c r="H114" s="817"/>
      <c r="I114" s="818"/>
      <c r="J114" s="818"/>
      <c r="K114" s="818"/>
      <c r="L114" s="818"/>
      <c r="M114" s="818"/>
      <c r="N114" s="818"/>
      <c r="O114" s="818"/>
      <c r="P114" s="818"/>
      <c r="Q114" s="818"/>
      <c r="R114" s="818"/>
      <c r="S114" s="818"/>
      <c r="T114" s="818"/>
      <c r="U114" s="817"/>
      <c r="V114" s="819"/>
    </row>
    <row r="115" spans="1:22" ht="15.75" customHeight="1">
      <c r="A115" s="804" t="s">
        <v>8</v>
      </c>
      <c r="B115" s="813" t="s">
        <v>12</v>
      </c>
      <c r="C115" s="810" t="s">
        <v>8</v>
      </c>
      <c r="D115" s="794" t="s">
        <v>181</v>
      </c>
      <c r="E115" s="823"/>
      <c r="F115" s="807" t="s">
        <v>12</v>
      </c>
      <c r="G115" s="801" t="s">
        <v>145</v>
      </c>
      <c r="H115" s="282" t="s">
        <v>11</v>
      </c>
      <c r="I115" s="165">
        <f>J115+L115</f>
        <v>212.4</v>
      </c>
      <c r="J115" s="162">
        <v>212.4</v>
      </c>
      <c r="K115" s="199"/>
      <c r="L115" s="163"/>
      <c r="M115" s="184">
        <f>N115+P115</f>
        <v>917.7</v>
      </c>
      <c r="N115" s="162">
        <f>324.4+253.3</f>
        <v>577.7</v>
      </c>
      <c r="O115" s="162"/>
      <c r="P115" s="163">
        <v>340</v>
      </c>
      <c r="Q115" s="394">
        <f>R115+T115</f>
        <v>46.19999999999999</v>
      </c>
      <c r="R115" s="375">
        <f>191.2-145</f>
        <v>46.19999999999999</v>
      </c>
      <c r="S115" s="381"/>
      <c r="T115" s="376"/>
      <c r="U115" s="356">
        <v>191.2</v>
      </c>
      <c r="V115" s="189">
        <v>191.2</v>
      </c>
    </row>
    <row r="116" spans="1:22" ht="15.75" customHeight="1">
      <c r="A116" s="805"/>
      <c r="B116" s="814"/>
      <c r="C116" s="811"/>
      <c r="D116" s="795"/>
      <c r="E116" s="824"/>
      <c r="F116" s="808"/>
      <c r="G116" s="802"/>
      <c r="H116" s="115" t="s">
        <v>53</v>
      </c>
      <c r="I116" s="181">
        <f>J116+L116</f>
        <v>642.7</v>
      </c>
      <c r="J116" s="179">
        <v>642.7</v>
      </c>
      <c r="K116" s="179"/>
      <c r="L116" s="180"/>
      <c r="M116" s="181">
        <f>N116+P116</f>
        <v>1100</v>
      </c>
      <c r="N116" s="179">
        <v>1100</v>
      </c>
      <c r="O116" s="179"/>
      <c r="P116" s="180"/>
      <c r="Q116" s="699">
        <f>R116+T116</f>
        <v>671.2</v>
      </c>
      <c r="R116" s="378">
        <f>528.4+142.8</f>
        <v>671.2</v>
      </c>
      <c r="S116" s="378"/>
      <c r="T116" s="379"/>
      <c r="U116" s="273">
        <v>601.5</v>
      </c>
      <c r="V116" s="183">
        <v>601.5</v>
      </c>
    </row>
    <row r="117" spans="1:22" ht="15.75" customHeight="1" thickBot="1">
      <c r="A117" s="806"/>
      <c r="B117" s="815"/>
      <c r="C117" s="812"/>
      <c r="D117" s="796"/>
      <c r="E117" s="798"/>
      <c r="F117" s="809"/>
      <c r="G117" s="803"/>
      <c r="H117" s="366" t="s">
        <v>20</v>
      </c>
      <c r="I117" s="367">
        <f aca="true" t="shared" si="35" ref="I117:V117">SUM(I115:I116)</f>
        <v>855.1</v>
      </c>
      <c r="J117" s="384">
        <f t="shared" si="35"/>
        <v>855.1</v>
      </c>
      <c r="K117" s="384">
        <f t="shared" si="35"/>
        <v>0</v>
      </c>
      <c r="L117" s="370">
        <f t="shared" si="35"/>
        <v>0</v>
      </c>
      <c r="M117" s="367">
        <f t="shared" si="35"/>
        <v>2017.7</v>
      </c>
      <c r="N117" s="384">
        <f t="shared" si="35"/>
        <v>1677.7</v>
      </c>
      <c r="O117" s="384">
        <f t="shared" si="35"/>
        <v>0</v>
      </c>
      <c r="P117" s="370">
        <f t="shared" si="35"/>
        <v>340</v>
      </c>
      <c r="Q117" s="367">
        <f t="shared" si="35"/>
        <v>717.4000000000001</v>
      </c>
      <c r="R117" s="384">
        <f t="shared" si="35"/>
        <v>717.4000000000001</v>
      </c>
      <c r="S117" s="384">
        <f t="shared" si="35"/>
        <v>0</v>
      </c>
      <c r="T117" s="370">
        <f t="shared" si="35"/>
        <v>0</v>
      </c>
      <c r="U117" s="368">
        <f t="shared" si="35"/>
        <v>792.7</v>
      </c>
      <c r="V117" s="372">
        <f t="shared" si="35"/>
        <v>792.7</v>
      </c>
    </row>
    <row r="118" spans="1:22" ht="15.75" customHeight="1">
      <c r="A118" s="3" t="s">
        <v>8</v>
      </c>
      <c r="B118" s="813" t="s">
        <v>12</v>
      </c>
      <c r="C118" s="810" t="s">
        <v>9</v>
      </c>
      <c r="D118" s="794" t="s">
        <v>178</v>
      </c>
      <c r="E118" s="788" t="s">
        <v>135</v>
      </c>
      <c r="F118" s="807" t="s">
        <v>12</v>
      </c>
      <c r="G118" s="801" t="s">
        <v>145</v>
      </c>
      <c r="H118" s="292" t="s">
        <v>11</v>
      </c>
      <c r="I118" s="174">
        <f>J118+L118</f>
        <v>1514.3</v>
      </c>
      <c r="J118" s="175">
        <v>1514.3</v>
      </c>
      <c r="K118" s="175"/>
      <c r="L118" s="176"/>
      <c r="M118" s="174">
        <f>N118+P118</f>
        <v>1374.3</v>
      </c>
      <c r="N118" s="175">
        <v>1374.3</v>
      </c>
      <c r="O118" s="175"/>
      <c r="P118" s="176"/>
      <c r="Q118" s="387">
        <f>R118+T118</f>
        <v>1374.3</v>
      </c>
      <c r="R118" s="388">
        <v>1374.3</v>
      </c>
      <c r="S118" s="388"/>
      <c r="T118" s="389"/>
      <c r="U118" s="272">
        <v>1374.3</v>
      </c>
      <c r="V118" s="177">
        <v>1374.3</v>
      </c>
    </row>
    <row r="119" spans="1:22" ht="15.75" customHeight="1">
      <c r="A119" s="3"/>
      <c r="B119" s="814"/>
      <c r="C119" s="811"/>
      <c r="D119" s="795"/>
      <c r="E119" s="789"/>
      <c r="F119" s="808"/>
      <c r="G119" s="802"/>
      <c r="H119" s="284"/>
      <c r="I119" s="178"/>
      <c r="J119" s="179"/>
      <c r="K119" s="179"/>
      <c r="L119" s="180"/>
      <c r="M119" s="181"/>
      <c r="N119" s="179"/>
      <c r="O119" s="179"/>
      <c r="P119" s="180"/>
      <c r="Q119" s="380"/>
      <c r="R119" s="378"/>
      <c r="S119" s="378"/>
      <c r="T119" s="379"/>
      <c r="U119" s="273"/>
      <c r="V119" s="183"/>
    </row>
    <row r="120" spans="1:22" ht="15.75" customHeight="1" thickBot="1">
      <c r="A120" s="4"/>
      <c r="B120" s="815"/>
      <c r="C120" s="812"/>
      <c r="D120" s="796"/>
      <c r="E120" s="790"/>
      <c r="F120" s="809"/>
      <c r="G120" s="803"/>
      <c r="H120" s="360" t="s">
        <v>20</v>
      </c>
      <c r="I120" s="385">
        <f aca="true" t="shared" si="36" ref="I120:V120">SUM(I118:I119)</f>
        <v>1514.3</v>
      </c>
      <c r="J120" s="369">
        <f t="shared" si="36"/>
        <v>1514.3</v>
      </c>
      <c r="K120" s="369">
        <f t="shared" si="36"/>
        <v>0</v>
      </c>
      <c r="L120" s="384">
        <f t="shared" si="36"/>
        <v>0</v>
      </c>
      <c r="M120" s="385">
        <f t="shared" si="36"/>
        <v>1374.3</v>
      </c>
      <c r="N120" s="369">
        <f t="shared" si="36"/>
        <v>1374.3</v>
      </c>
      <c r="O120" s="369">
        <f t="shared" si="36"/>
        <v>0</v>
      </c>
      <c r="P120" s="384">
        <f t="shared" si="36"/>
        <v>0</v>
      </c>
      <c r="Q120" s="385">
        <f t="shared" si="36"/>
        <v>1374.3</v>
      </c>
      <c r="R120" s="369">
        <f t="shared" si="36"/>
        <v>1374.3</v>
      </c>
      <c r="S120" s="369">
        <f t="shared" si="36"/>
        <v>0</v>
      </c>
      <c r="T120" s="384">
        <f t="shared" si="36"/>
        <v>0</v>
      </c>
      <c r="U120" s="385">
        <f t="shared" si="36"/>
        <v>1374.3</v>
      </c>
      <c r="V120" s="372">
        <f t="shared" si="36"/>
        <v>1374.3</v>
      </c>
    </row>
    <row r="121" spans="1:22" ht="15.75" customHeight="1">
      <c r="A121" s="804" t="s">
        <v>8</v>
      </c>
      <c r="B121" s="813" t="s">
        <v>12</v>
      </c>
      <c r="C121" s="810" t="s">
        <v>10</v>
      </c>
      <c r="D121" s="820" t="s">
        <v>188</v>
      </c>
      <c r="E121" s="774" t="s">
        <v>135</v>
      </c>
      <c r="F121" s="807" t="s">
        <v>12</v>
      </c>
      <c r="G121" s="801" t="s">
        <v>144</v>
      </c>
      <c r="H121" s="281" t="s">
        <v>11</v>
      </c>
      <c r="I121" s="165">
        <f>J121+L121</f>
        <v>0</v>
      </c>
      <c r="J121" s="188"/>
      <c r="K121" s="188"/>
      <c r="L121" s="192"/>
      <c r="M121" s="165">
        <f>N121+P121</f>
        <v>0</v>
      </c>
      <c r="N121" s="193"/>
      <c r="O121" s="193"/>
      <c r="P121" s="194"/>
      <c r="Q121" s="374">
        <f>R121+T121</f>
        <v>0</v>
      </c>
      <c r="R121" s="390"/>
      <c r="S121" s="390"/>
      <c r="T121" s="391"/>
      <c r="U121" s="274"/>
      <c r="V121" s="195"/>
    </row>
    <row r="122" spans="1:22" ht="15.75" customHeight="1">
      <c r="A122" s="805"/>
      <c r="B122" s="814"/>
      <c r="C122" s="811"/>
      <c r="D122" s="821"/>
      <c r="E122" s="733"/>
      <c r="F122" s="808"/>
      <c r="G122" s="802"/>
      <c r="H122" s="293" t="s">
        <v>30</v>
      </c>
      <c r="I122" s="170">
        <f>J122+L122</f>
        <v>0</v>
      </c>
      <c r="J122" s="196"/>
      <c r="K122" s="196"/>
      <c r="L122" s="197"/>
      <c r="M122" s="170">
        <f>N122+P122</f>
        <v>100</v>
      </c>
      <c r="N122" s="193"/>
      <c r="O122" s="193"/>
      <c r="P122" s="194">
        <v>100</v>
      </c>
      <c r="Q122" s="377">
        <f>R122+T122</f>
        <v>100</v>
      </c>
      <c r="R122" s="392"/>
      <c r="S122" s="392"/>
      <c r="T122" s="393">
        <v>100</v>
      </c>
      <c r="U122" s="275">
        <v>70</v>
      </c>
      <c r="V122" s="198"/>
    </row>
    <row r="123" spans="1:22" ht="15.75" customHeight="1" thickBot="1">
      <c r="A123" s="806"/>
      <c r="B123" s="815"/>
      <c r="C123" s="812"/>
      <c r="D123" s="822"/>
      <c r="E123" s="494" t="s">
        <v>22</v>
      </c>
      <c r="F123" s="809"/>
      <c r="G123" s="803"/>
      <c r="H123" s="386" t="s">
        <v>20</v>
      </c>
      <c r="I123" s="367">
        <f aca="true" t="shared" si="37" ref="I123:V123">SUM(I121:I122)</f>
        <v>0</v>
      </c>
      <c r="J123" s="368">
        <f t="shared" si="37"/>
        <v>0</v>
      </c>
      <c r="K123" s="369">
        <f t="shared" si="37"/>
        <v>0</v>
      </c>
      <c r="L123" s="370">
        <f t="shared" si="37"/>
        <v>0</v>
      </c>
      <c r="M123" s="367">
        <f t="shared" si="37"/>
        <v>100</v>
      </c>
      <c r="N123" s="368">
        <f t="shared" si="37"/>
        <v>0</v>
      </c>
      <c r="O123" s="369">
        <f t="shared" si="37"/>
        <v>0</v>
      </c>
      <c r="P123" s="370">
        <f t="shared" si="37"/>
        <v>100</v>
      </c>
      <c r="Q123" s="367">
        <f t="shared" si="37"/>
        <v>100</v>
      </c>
      <c r="R123" s="368">
        <f t="shared" si="37"/>
        <v>0</v>
      </c>
      <c r="S123" s="369">
        <f t="shared" si="37"/>
        <v>0</v>
      </c>
      <c r="T123" s="370">
        <f t="shared" si="37"/>
        <v>100</v>
      </c>
      <c r="U123" s="385">
        <f t="shared" si="37"/>
        <v>70</v>
      </c>
      <c r="V123" s="372">
        <f t="shared" si="37"/>
        <v>0</v>
      </c>
    </row>
    <row r="124" spans="1:22" ht="15.75" customHeight="1">
      <c r="A124" s="804" t="s">
        <v>8</v>
      </c>
      <c r="B124" s="813" t="s">
        <v>12</v>
      </c>
      <c r="C124" s="810" t="s">
        <v>12</v>
      </c>
      <c r="D124" s="783" t="s">
        <v>151</v>
      </c>
      <c r="E124" s="774" t="s">
        <v>135</v>
      </c>
      <c r="F124" s="807" t="s">
        <v>12</v>
      </c>
      <c r="G124" s="801" t="s">
        <v>144</v>
      </c>
      <c r="H124" s="281"/>
      <c r="I124" s="165">
        <f>J124+L124</f>
        <v>0</v>
      </c>
      <c r="J124" s="188"/>
      <c r="K124" s="188"/>
      <c r="L124" s="192"/>
      <c r="M124" s="165">
        <f>N124+P124</f>
        <v>0</v>
      </c>
      <c r="N124" s="193"/>
      <c r="O124" s="193"/>
      <c r="P124" s="194"/>
      <c r="Q124" s="374">
        <f>R124+T124</f>
        <v>0</v>
      </c>
      <c r="R124" s="390"/>
      <c r="S124" s="390"/>
      <c r="T124" s="391"/>
      <c r="U124" s="274"/>
      <c r="V124" s="195"/>
    </row>
    <row r="125" spans="1:22" ht="15.75" customHeight="1">
      <c r="A125" s="805"/>
      <c r="B125" s="814"/>
      <c r="C125" s="811"/>
      <c r="D125" s="784"/>
      <c r="E125" s="733"/>
      <c r="F125" s="808"/>
      <c r="G125" s="802"/>
      <c r="H125" s="293" t="s">
        <v>30</v>
      </c>
      <c r="I125" s="170">
        <f>J125+L125</f>
        <v>0</v>
      </c>
      <c r="J125" s="196"/>
      <c r="K125" s="196"/>
      <c r="L125" s="197"/>
      <c r="M125" s="170">
        <f>N125+P125</f>
        <v>0</v>
      </c>
      <c r="N125" s="193"/>
      <c r="O125" s="193"/>
      <c r="P125" s="194"/>
      <c r="Q125" s="377">
        <f>R125+T125</f>
        <v>0</v>
      </c>
      <c r="R125" s="392"/>
      <c r="S125" s="392"/>
      <c r="T125" s="393"/>
      <c r="U125" s="275"/>
      <c r="V125" s="198">
        <v>440</v>
      </c>
    </row>
    <row r="126" spans="1:22" ht="15.75" customHeight="1" thickBot="1">
      <c r="A126" s="806"/>
      <c r="B126" s="815"/>
      <c r="C126" s="812"/>
      <c r="D126" s="785"/>
      <c r="E126" s="494" t="s">
        <v>22</v>
      </c>
      <c r="F126" s="809"/>
      <c r="G126" s="803"/>
      <c r="H126" s="386" t="s">
        <v>20</v>
      </c>
      <c r="I126" s="367">
        <f aca="true" t="shared" si="38" ref="I126:V126">SUM(I124:I125)</f>
        <v>0</v>
      </c>
      <c r="J126" s="368">
        <f t="shared" si="38"/>
        <v>0</v>
      </c>
      <c r="K126" s="369">
        <f t="shared" si="38"/>
        <v>0</v>
      </c>
      <c r="L126" s="370">
        <f t="shared" si="38"/>
        <v>0</v>
      </c>
      <c r="M126" s="367">
        <f t="shared" si="38"/>
        <v>0</v>
      </c>
      <c r="N126" s="368">
        <f t="shared" si="38"/>
        <v>0</v>
      </c>
      <c r="O126" s="369">
        <f t="shared" si="38"/>
        <v>0</v>
      </c>
      <c r="P126" s="370">
        <f t="shared" si="38"/>
        <v>0</v>
      </c>
      <c r="Q126" s="367">
        <f t="shared" si="38"/>
        <v>0</v>
      </c>
      <c r="R126" s="368">
        <f t="shared" si="38"/>
        <v>0</v>
      </c>
      <c r="S126" s="369">
        <f t="shared" si="38"/>
        <v>0</v>
      </c>
      <c r="T126" s="370">
        <f t="shared" si="38"/>
        <v>0</v>
      </c>
      <c r="U126" s="385">
        <f t="shared" si="38"/>
        <v>0</v>
      </c>
      <c r="V126" s="372">
        <f t="shared" si="38"/>
        <v>440</v>
      </c>
    </row>
    <row r="127" spans="1:22" ht="15.75" customHeight="1">
      <c r="A127" s="804" t="s">
        <v>8</v>
      </c>
      <c r="B127" s="813" t="s">
        <v>12</v>
      </c>
      <c r="C127" s="791" t="s">
        <v>38</v>
      </c>
      <c r="D127" s="497" t="s">
        <v>174</v>
      </c>
      <c r="E127" s="1017" t="s">
        <v>134</v>
      </c>
      <c r="F127" s="840" t="s">
        <v>12</v>
      </c>
      <c r="G127" s="850" t="s">
        <v>144</v>
      </c>
      <c r="H127" s="285" t="s">
        <v>11</v>
      </c>
      <c r="I127" s="184">
        <f>J127+L127</f>
        <v>0</v>
      </c>
      <c r="J127" s="162"/>
      <c r="K127" s="162"/>
      <c r="L127" s="163"/>
      <c r="M127" s="184">
        <f>N127+P127</f>
        <v>101.3</v>
      </c>
      <c r="N127" s="162">
        <f>15+7.3+79</f>
        <v>101.3</v>
      </c>
      <c r="O127" s="162"/>
      <c r="P127" s="163"/>
      <c r="Q127" s="394">
        <f>R127+T127</f>
        <v>7.3</v>
      </c>
      <c r="R127" s="375">
        <v>7.3</v>
      </c>
      <c r="S127" s="375"/>
      <c r="T127" s="376"/>
      <c r="U127" s="333">
        <f>7.3+30.6</f>
        <v>37.9</v>
      </c>
      <c r="V127" s="305">
        <v>7.2</v>
      </c>
    </row>
    <row r="128" spans="1:22" ht="15.75" customHeight="1">
      <c r="A128" s="805"/>
      <c r="B128" s="814"/>
      <c r="C128" s="787"/>
      <c r="D128" s="486" t="s">
        <v>176</v>
      </c>
      <c r="E128" s="846"/>
      <c r="F128" s="841"/>
      <c r="G128" s="851"/>
      <c r="H128" s="279" t="s">
        <v>18</v>
      </c>
      <c r="I128" s="187">
        <f>J128+L128</f>
        <v>0</v>
      </c>
      <c r="J128" s="196"/>
      <c r="K128" s="196"/>
      <c r="L128" s="197"/>
      <c r="M128" s="187">
        <f>N128+P128</f>
        <v>250</v>
      </c>
      <c r="N128" s="196">
        <v>250</v>
      </c>
      <c r="O128" s="196"/>
      <c r="P128" s="197"/>
      <c r="Q128" s="398">
        <f>R128+T128</f>
        <v>250</v>
      </c>
      <c r="R128" s="392">
        <v>250</v>
      </c>
      <c r="S128" s="392"/>
      <c r="T128" s="393"/>
      <c r="U128" s="336">
        <f>250+275.4</f>
        <v>525.4</v>
      </c>
      <c r="V128" s="337">
        <v>102.3</v>
      </c>
    </row>
    <row r="129" spans="1:22" ht="15.75" customHeight="1">
      <c r="A129" s="805"/>
      <c r="B129" s="814"/>
      <c r="C129" s="787"/>
      <c r="D129" s="786" t="s">
        <v>175</v>
      </c>
      <c r="E129" s="846" t="s">
        <v>156</v>
      </c>
      <c r="F129" s="841"/>
      <c r="G129" s="851"/>
      <c r="H129" s="279" t="s">
        <v>53</v>
      </c>
      <c r="I129" s="187"/>
      <c r="J129" s="196"/>
      <c r="K129" s="196"/>
      <c r="L129" s="197"/>
      <c r="M129" s="187">
        <f>N129+P129</f>
        <v>71.9</v>
      </c>
      <c r="N129" s="196">
        <v>71.9</v>
      </c>
      <c r="O129" s="196"/>
      <c r="P129" s="197"/>
      <c r="Q129" s="398">
        <f>R129+T129</f>
        <v>0</v>
      </c>
      <c r="R129" s="392">
        <f>71.9-71.9</f>
        <v>0</v>
      </c>
      <c r="S129" s="392"/>
      <c r="T129" s="393"/>
      <c r="U129" s="336">
        <v>18</v>
      </c>
      <c r="V129" s="337">
        <v>10.9</v>
      </c>
    </row>
    <row r="130" spans="1:22" ht="15.75" customHeight="1">
      <c r="A130" s="805"/>
      <c r="B130" s="814"/>
      <c r="C130" s="787"/>
      <c r="D130" s="786"/>
      <c r="E130" s="846"/>
      <c r="F130" s="841"/>
      <c r="G130" s="851"/>
      <c r="H130" s="283"/>
      <c r="I130" s="185"/>
      <c r="J130" s="171"/>
      <c r="K130" s="171"/>
      <c r="L130" s="172"/>
      <c r="M130" s="185"/>
      <c r="N130" s="171"/>
      <c r="O130" s="171"/>
      <c r="P130" s="172"/>
      <c r="Q130" s="395"/>
      <c r="R130" s="396"/>
      <c r="S130" s="396"/>
      <c r="T130" s="397"/>
      <c r="U130" s="334"/>
      <c r="V130" s="335"/>
    </row>
    <row r="131" spans="1:22" ht="15" customHeight="1">
      <c r="A131" s="805"/>
      <c r="B131" s="814"/>
      <c r="C131" s="787"/>
      <c r="D131" s="914" t="s">
        <v>223</v>
      </c>
      <c r="E131" s="1012"/>
      <c r="F131" s="841"/>
      <c r="G131" s="851"/>
      <c r="H131" s="279" t="s">
        <v>30</v>
      </c>
      <c r="I131" s="187">
        <f>J131+L131</f>
        <v>0</v>
      </c>
      <c r="J131" s="196"/>
      <c r="K131" s="196"/>
      <c r="L131" s="197"/>
      <c r="M131" s="187">
        <f>N131+P131</f>
        <v>36.8</v>
      </c>
      <c r="N131" s="196">
        <v>36.8</v>
      </c>
      <c r="O131" s="196"/>
      <c r="P131" s="197"/>
      <c r="Q131" s="398">
        <f>R131+T131</f>
        <v>36.8</v>
      </c>
      <c r="R131" s="392">
        <v>36.8</v>
      </c>
      <c r="S131" s="392"/>
      <c r="T131" s="393"/>
      <c r="U131" s="336">
        <v>36.8</v>
      </c>
      <c r="V131" s="337"/>
    </row>
    <row r="132" spans="1:22" ht="15.75" customHeight="1" thickBot="1">
      <c r="A132" s="806"/>
      <c r="B132" s="815"/>
      <c r="C132" s="780"/>
      <c r="D132" s="915"/>
      <c r="E132" s="1013"/>
      <c r="F132" s="842"/>
      <c r="G132" s="852"/>
      <c r="H132" s="360" t="s">
        <v>20</v>
      </c>
      <c r="I132" s="367">
        <f aca="true" t="shared" si="39" ref="I132:V132">SUM(I127:I131)</f>
        <v>0</v>
      </c>
      <c r="J132" s="384">
        <f t="shared" si="39"/>
        <v>0</v>
      </c>
      <c r="K132" s="384">
        <f t="shared" si="39"/>
        <v>0</v>
      </c>
      <c r="L132" s="370">
        <f t="shared" si="39"/>
        <v>0</v>
      </c>
      <c r="M132" s="367">
        <f t="shared" si="39"/>
        <v>460.00000000000006</v>
      </c>
      <c r="N132" s="384">
        <f t="shared" si="39"/>
        <v>460.00000000000006</v>
      </c>
      <c r="O132" s="384">
        <f t="shared" si="39"/>
        <v>0</v>
      </c>
      <c r="P132" s="370">
        <f t="shared" si="39"/>
        <v>0</v>
      </c>
      <c r="Q132" s="367">
        <f t="shared" si="39"/>
        <v>294.1</v>
      </c>
      <c r="R132" s="384">
        <f t="shared" si="39"/>
        <v>294.1</v>
      </c>
      <c r="S132" s="384">
        <f t="shared" si="39"/>
        <v>0</v>
      </c>
      <c r="T132" s="370">
        <f t="shared" si="39"/>
        <v>0</v>
      </c>
      <c r="U132" s="385">
        <f t="shared" si="39"/>
        <v>618.0999999999999</v>
      </c>
      <c r="V132" s="372">
        <f t="shared" si="39"/>
        <v>120.4</v>
      </c>
    </row>
    <row r="133" spans="1:22" ht="28.5" customHeight="1">
      <c r="A133" s="1009" t="s">
        <v>8</v>
      </c>
      <c r="B133" s="899" t="s">
        <v>12</v>
      </c>
      <c r="C133" s="893" t="s">
        <v>13</v>
      </c>
      <c r="D133" s="843" t="s">
        <v>55</v>
      </c>
      <c r="E133" s="495"/>
      <c r="F133" s="896" t="s">
        <v>10</v>
      </c>
      <c r="G133" s="801" t="s">
        <v>182</v>
      </c>
      <c r="H133" s="294" t="s">
        <v>11</v>
      </c>
      <c r="I133" s="165">
        <f>J133+L133</f>
        <v>518.7</v>
      </c>
      <c r="J133" s="162">
        <v>518.7</v>
      </c>
      <c r="K133" s="162"/>
      <c r="L133" s="163"/>
      <c r="M133" s="165">
        <f>N133+P133</f>
        <v>437</v>
      </c>
      <c r="N133" s="162">
        <v>437</v>
      </c>
      <c r="O133" s="188"/>
      <c r="P133" s="163"/>
      <c r="Q133" s="380">
        <f>R133+T133</f>
        <v>233.3</v>
      </c>
      <c r="R133" s="378">
        <v>233.3</v>
      </c>
      <c r="S133" s="378"/>
      <c r="T133" s="379"/>
      <c r="U133" s="276">
        <v>233</v>
      </c>
      <c r="V133" s="183">
        <v>233</v>
      </c>
    </row>
    <row r="134" spans="1:22" ht="16.5" customHeight="1">
      <c r="A134" s="1010"/>
      <c r="B134" s="900"/>
      <c r="C134" s="894"/>
      <c r="D134" s="844"/>
      <c r="E134" s="902" t="s">
        <v>133</v>
      </c>
      <c r="F134" s="897"/>
      <c r="G134" s="802"/>
      <c r="H134" s="295"/>
      <c r="I134" s="170">
        <f>J134+L134</f>
        <v>0</v>
      </c>
      <c r="J134" s="171"/>
      <c r="K134" s="171"/>
      <c r="L134" s="172"/>
      <c r="M134" s="170">
        <f>N134+P134</f>
        <v>0</v>
      </c>
      <c r="N134" s="171"/>
      <c r="O134" s="190"/>
      <c r="P134" s="172"/>
      <c r="Q134" s="377">
        <f>R134+T134</f>
        <v>0</v>
      </c>
      <c r="R134" s="396"/>
      <c r="S134" s="396"/>
      <c r="T134" s="397"/>
      <c r="U134" s="263"/>
      <c r="V134" s="191"/>
    </row>
    <row r="135" spans="1:22" ht="24" customHeight="1" thickBot="1">
      <c r="A135" s="1011"/>
      <c r="B135" s="901"/>
      <c r="C135" s="895"/>
      <c r="D135" s="845"/>
      <c r="E135" s="903"/>
      <c r="F135" s="898"/>
      <c r="G135" s="803"/>
      <c r="H135" s="383" t="s">
        <v>20</v>
      </c>
      <c r="I135" s="361">
        <f aca="true" t="shared" si="40" ref="I135:V135">SUM(I133:I134)</f>
        <v>518.7</v>
      </c>
      <c r="J135" s="359">
        <f t="shared" si="40"/>
        <v>518.7</v>
      </c>
      <c r="K135" s="362">
        <f t="shared" si="40"/>
        <v>0</v>
      </c>
      <c r="L135" s="363">
        <f t="shared" si="40"/>
        <v>0</v>
      </c>
      <c r="M135" s="361">
        <f t="shared" si="40"/>
        <v>437</v>
      </c>
      <c r="N135" s="359">
        <f t="shared" si="40"/>
        <v>437</v>
      </c>
      <c r="O135" s="362">
        <f t="shared" si="40"/>
        <v>0</v>
      </c>
      <c r="P135" s="363">
        <f t="shared" si="40"/>
        <v>0</v>
      </c>
      <c r="Q135" s="361">
        <f t="shared" si="40"/>
        <v>233.3</v>
      </c>
      <c r="R135" s="359">
        <f t="shared" si="40"/>
        <v>233.3</v>
      </c>
      <c r="S135" s="362">
        <f t="shared" si="40"/>
        <v>0</v>
      </c>
      <c r="T135" s="363">
        <f t="shared" si="40"/>
        <v>0</v>
      </c>
      <c r="U135" s="368">
        <f t="shared" si="40"/>
        <v>233</v>
      </c>
      <c r="V135" s="372">
        <f t="shared" si="40"/>
        <v>233</v>
      </c>
    </row>
    <row r="136" spans="1:22" ht="15.75" customHeight="1" thickBot="1">
      <c r="A136" s="6" t="s">
        <v>8</v>
      </c>
      <c r="B136" s="7" t="s">
        <v>12</v>
      </c>
      <c r="C136" s="781" t="s">
        <v>19</v>
      </c>
      <c r="D136" s="782"/>
      <c r="E136" s="782"/>
      <c r="F136" s="782"/>
      <c r="G136" s="782"/>
      <c r="H136" s="782"/>
      <c r="I136" s="271">
        <f>SUM(I135,I132,I126,I123,I120,I117)</f>
        <v>2888.1</v>
      </c>
      <c r="J136" s="339">
        <f aca="true" t="shared" si="41" ref="J136:V136">SUM(J135,J132,J126,J123,J120,J117)</f>
        <v>2888.1</v>
      </c>
      <c r="K136" s="339">
        <f t="shared" si="41"/>
        <v>0</v>
      </c>
      <c r="L136" s="338">
        <f t="shared" si="41"/>
        <v>0</v>
      </c>
      <c r="M136" s="271">
        <f t="shared" si="41"/>
        <v>4389</v>
      </c>
      <c r="N136" s="339">
        <f t="shared" si="41"/>
        <v>3949</v>
      </c>
      <c r="O136" s="339">
        <f t="shared" si="41"/>
        <v>0</v>
      </c>
      <c r="P136" s="338">
        <f t="shared" si="41"/>
        <v>440</v>
      </c>
      <c r="Q136" s="271">
        <f t="shared" si="41"/>
        <v>2719.1000000000004</v>
      </c>
      <c r="R136" s="339">
        <f t="shared" si="41"/>
        <v>2619.1000000000004</v>
      </c>
      <c r="S136" s="339">
        <f t="shared" si="41"/>
        <v>0</v>
      </c>
      <c r="T136" s="338">
        <f t="shared" si="41"/>
        <v>100</v>
      </c>
      <c r="U136" s="271">
        <f t="shared" si="41"/>
        <v>3088.0999999999995</v>
      </c>
      <c r="V136" s="271">
        <f t="shared" si="41"/>
        <v>2960.3999999999996</v>
      </c>
    </row>
    <row r="137" spans="1:22" ht="15.75" customHeight="1" thickBot="1">
      <c r="A137" s="4" t="s">
        <v>8</v>
      </c>
      <c r="B137" s="5" t="s">
        <v>38</v>
      </c>
      <c r="C137" s="847" t="s">
        <v>29</v>
      </c>
      <c r="D137" s="848"/>
      <c r="E137" s="848"/>
      <c r="F137" s="848"/>
      <c r="G137" s="848"/>
      <c r="H137" s="848"/>
      <c r="I137" s="849"/>
      <c r="J137" s="849"/>
      <c r="K137" s="849"/>
      <c r="L137" s="849"/>
      <c r="M137" s="849"/>
      <c r="N137" s="849"/>
      <c r="O137" s="849"/>
      <c r="P137" s="849"/>
      <c r="Q137" s="849"/>
      <c r="R137" s="8"/>
      <c r="S137" s="8"/>
      <c r="T137" s="8"/>
      <c r="U137" s="8"/>
      <c r="V137" s="118"/>
    </row>
    <row r="138" spans="1:22" ht="15.75" customHeight="1">
      <c r="A138" s="804" t="s">
        <v>8</v>
      </c>
      <c r="B138" s="813" t="s">
        <v>38</v>
      </c>
      <c r="C138" s="810" t="s">
        <v>8</v>
      </c>
      <c r="D138" s="794" t="s">
        <v>146</v>
      </c>
      <c r="E138" s="823"/>
      <c r="F138" s="807" t="s">
        <v>12</v>
      </c>
      <c r="G138" s="801" t="s">
        <v>145</v>
      </c>
      <c r="H138" s="282" t="s">
        <v>53</v>
      </c>
      <c r="I138" s="165">
        <f>J138+L138</f>
        <v>1200</v>
      </c>
      <c r="J138" s="162"/>
      <c r="K138" s="162"/>
      <c r="L138" s="163">
        <v>1200</v>
      </c>
      <c r="M138" s="165">
        <f>N138+P138</f>
        <v>1840.2</v>
      </c>
      <c r="N138" s="162"/>
      <c r="O138" s="162"/>
      <c r="P138" s="163">
        <v>1840.2</v>
      </c>
      <c r="Q138" s="374">
        <f>R138+T138</f>
        <v>520</v>
      </c>
      <c r="R138" s="375"/>
      <c r="S138" s="375"/>
      <c r="T138" s="376">
        <f>733-213</f>
        <v>520</v>
      </c>
      <c r="U138" s="201">
        <v>928.4</v>
      </c>
      <c r="V138" s="195">
        <v>928.4</v>
      </c>
    </row>
    <row r="139" spans="1:22" ht="15.75" customHeight="1">
      <c r="A139" s="805"/>
      <c r="B139" s="814"/>
      <c r="C139" s="811"/>
      <c r="D139" s="795"/>
      <c r="E139" s="824"/>
      <c r="F139" s="808"/>
      <c r="G139" s="802"/>
      <c r="H139" s="284"/>
      <c r="I139" s="170">
        <f>J139+L139</f>
        <v>0</v>
      </c>
      <c r="J139" s="179"/>
      <c r="K139" s="179"/>
      <c r="L139" s="180"/>
      <c r="M139" s="170">
        <f>N139+P139</f>
        <v>0</v>
      </c>
      <c r="N139" s="179"/>
      <c r="O139" s="179"/>
      <c r="P139" s="180"/>
      <c r="Q139" s="377">
        <f>R139+T139</f>
        <v>0</v>
      </c>
      <c r="R139" s="378"/>
      <c r="S139" s="378"/>
      <c r="T139" s="379"/>
      <c r="U139" s="202"/>
      <c r="V139" s="203"/>
    </row>
    <row r="140" spans="1:22" ht="15.75" customHeight="1" thickBot="1">
      <c r="A140" s="806"/>
      <c r="B140" s="815"/>
      <c r="C140" s="812"/>
      <c r="D140" s="796"/>
      <c r="E140" s="798"/>
      <c r="F140" s="809"/>
      <c r="G140" s="803"/>
      <c r="H140" s="373" t="s">
        <v>20</v>
      </c>
      <c r="I140" s="367">
        <f aca="true" t="shared" si="42" ref="I140:V140">SUM(I138:I139)</f>
        <v>1200</v>
      </c>
      <c r="J140" s="368">
        <f t="shared" si="42"/>
        <v>0</v>
      </c>
      <c r="K140" s="369">
        <f t="shared" si="42"/>
        <v>0</v>
      </c>
      <c r="L140" s="370">
        <f t="shared" si="42"/>
        <v>1200</v>
      </c>
      <c r="M140" s="367">
        <f t="shared" si="42"/>
        <v>1840.2</v>
      </c>
      <c r="N140" s="368">
        <f t="shared" si="42"/>
        <v>0</v>
      </c>
      <c r="O140" s="369">
        <f t="shared" si="42"/>
        <v>0</v>
      </c>
      <c r="P140" s="370">
        <f t="shared" si="42"/>
        <v>1840.2</v>
      </c>
      <c r="Q140" s="367">
        <f t="shared" si="42"/>
        <v>520</v>
      </c>
      <c r="R140" s="368">
        <f t="shared" si="42"/>
        <v>0</v>
      </c>
      <c r="S140" s="369">
        <f t="shared" si="42"/>
        <v>0</v>
      </c>
      <c r="T140" s="370">
        <f t="shared" si="42"/>
        <v>520</v>
      </c>
      <c r="U140" s="371">
        <f t="shared" si="42"/>
        <v>928.4</v>
      </c>
      <c r="V140" s="372">
        <f t="shared" si="42"/>
        <v>928.4</v>
      </c>
    </row>
    <row r="141" spans="1:22" ht="18" customHeight="1">
      <c r="A141" s="804" t="s">
        <v>8</v>
      </c>
      <c r="B141" s="813" t="s">
        <v>38</v>
      </c>
      <c r="C141" s="810" t="s">
        <v>9</v>
      </c>
      <c r="D141" s="794" t="s">
        <v>187</v>
      </c>
      <c r="E141" s="823"/>
      <c r="F141" s="807" t="s">
        <v>12</v>
      </c>
      <c r="G141" s="801" t="s">
        <v>145</v>
      </c>
      <c r="H141" s="282" t="s">
        <v>11</v>
      </c>
      <c r="I141" s="165">
        <f>J141+L141</f>
        <v>150</v>
      </c>
      <c r="J141" s="162">
        <v>150</v>
      </c>
      <c r="K141" s="162"/>
      <c r="L141" s="163"/>
      <c r="M141" s="165">
        <f>N141+P141</f>
        <v>1690</v>
      </c>
      <c r="N141" s="162">
        <v>1690</v>
      </c>
      <c r="O141" s="166"/>
      <c r="P141" s="167"/>
      <c r="Q141" s="374">
        <f>R141+T141</f>
        <v>280</v>
      </c>
      <c r="R141" s="375">
        <f>135+145</f>
        <v>280</v>
      </c>
      <c r="S141" s="375"/>
      <c r="T141" s="376"/>
      <c r="U141" s="304">
        <v>135</v>
      </c>
      <c r="V141" s="305">
        <v>135</v>
      </c>
    </row>
    <row r="142" spans="1:22" ht="18" customHeight="1">
      <c r="A142" s="805"/>
      <c r="B142" s="814"/>
      <c r="C142" s="811"/>
      <c r="D142" s="795"/>
      <c r="E142" s="824"/>
      <c r="F142" s="808"/>
      <c r="G142" s="802"/>
      <c r="H142" s="115" t="s">
        <v>53</v>
      </c>
      <c r="I142" s="178">
        <f>J142+L142</f>
        <v>1172.7</v>
      </c>
      <c r="J142" s="179">
        <v>1172.7</v>
      </c>
      <c r="K142" s="179"/>
      <c r="L142" s="180"/>
      <c r="M142" s="178">
        <f>N142+P142</f>
        <v>2761</v>
      </c>
      <c r="N142" s="179">
        <v>2761</v>
      </c>
      <c r="O142" s="204" t="s">
        <v>51</v>
      </c>
      <c r="P142" s="205"/>
      <c r="Q142" s="380">
        <f>R142+T142</f>
        <v>1238.4</v>
      </c>
      <c r="R142" s="378">
        <f>900+338.4</f>
        <v>1238.4</v>
      </c>
      <c r="S142" s="378"/>
      <c r="T142" s="379"/>
      <c r="U142" s="206">
        <v>1206.1</v>
      </c>
      <c r="V142" s="207">
        <v>1206.1</v>
      </c>
    </row>
    <row r="143" spans="1:22" ht="18" customHeight="1" thickBot="1">
      <c r="A143" s="806"/>
      <c r="B143" s="815"/>
      <c r="C143" s="812"/>
      <c r="D143" s="796"/>
      <c r="E143" s="798"/>
      <c r="F143" s="809"/>
      <c r="G143" s="803"/>
      <c r="H143" s="360" t="s">
        <v>20</v>
      </c>
      <c r="I143" s="367">
        <f aca="true" t="shared" si="43" ref="I143:V143">SUM(I141:I142)</f>
        <v>1322.7</v>
      </c>
      <c r="J143" s="369">
        <f t="shared" si="43"/>
        <v>1322.7</v>
      </c>
      <c r="K143" s="369">
        <f t="shared" si="43"/>
        <v>0</v>
      </c>
      <c r="L143" s="370">
        <f t="shared" si="43"/>
        <v>0</v>
      </c>
      <c r="M143" s="367">
        <f t="shared" si="43"/>
        <v>4451</v>
      </c>
      <c r="N143" s="369">
        <f t="shared" si="43"/>
        <v>4451</v>
      </c>
      <c r="O143" s="369">
        <f t="shared" si="43"/>
        <v>0</v>
      </c>
      <c r="P143" s="370">
        <f t="shared" si="43"/>
        <v>0</v>
      </c>
      <c r="Q143" s="367">
        <f t="shared" si="43"/>
        <v>1518.4</v>
      </c>
      <c r="R143" s="369">
        <f t="shared" si="43"/>
        <v>1518.4</v>
      </c>
      <c r="S143" s="369">
        <f t="shared" si="43"/>
        <v>0</v>
      </c>
      <c r="T143" s="370">
        <f t="shared" si="43"/>
        <v>0</v>
      </c>
      <c r="U143" s="371">
        <f t="shared" si="43"/>
        <v>1341.1</v>
      </c>
      <c r="V143" s="372">
        <f t="shared" si="43"/>
        <v>1341.1</v>
      </c>
    </row>
    <row r="144" spans="1:22" ht="15.75" customHeight="1">
      <c r="A144" s="804" t="s">
        <v>8</v>
      </c>
      <c r="B144" s="813" t="s">
        <v>38</v>
      </c>
      <c r="C144" s="810" t="s">
        <v>10</v>
      </c>
      <c r="D144" s="794" t="s">
        <v>157</v>
      </c>
      <c r="E144" s="823"/>
      <c r="F144" s="807" t="s">
        <v>12</v>
      </c>
      <c r="G144" s="801" t="s">
        <v>145</v>
      </c>
      <c r="H144" s="282" t="s">
        <v>11</v>
      </c>
      <c r="I144" s="165">
        <f>J144+L144</f>
        <v>50</v>
      </c>
      <c r="J144" s="162">
        <v>50</v>
      </c>
      <c r="K144" s="162"/>
      <c r="L144" s="199"/>
      <c r="M144" s="165">
        <f>N144+P144</f>
        <v>100</v>
      </c>
      <c r="N144" s="162">
        <v>100</v>
      </c>
      <c r="O144" s="162"/>
      <c r="P144" s="163"/>
      <c r="Q144" s="374">
        <f>R144+T144</f>
        <v>45</v>
      </c>
      <c r="R144" s="375">
        <v>45</v>
      </c>
      <c r="S144" s="375"/>
      <c r="T144" s="376"/>
      <c r="U144" s="168">
        <v>45</v>
      </c>
      <c r="V144" s="189">
        <v>45</v>
      </c>
    </row>
    <row r="145" spans="1:24" ht="15.75" customHeight="1">
      <c r="A145" s="805"/>
      <c r="B145" s="814"/>
      <c r="C145" s="811"/>
      <c r="D145" s="795"/>
      <c r="E145" s="824"/>
      <c r="F145" s="808"/>
      <c r="G145" s="802"/>
      <c r="H145" s="115" t="s">
        <v>53</v>
      </c>
      <c r="I145" s="178">
        <f>J145+L145</f>
        <v>400</v>
      </c>
      <c r="J145" s="179"/>
      <c r="K145" s="179"/>
      <c r="L145" s="306">
        <v>400</v>
      </c>
      <c r="M145" s="178">
        <f>N145+P145</f>
        <v>600</v>
      </c>
      <c r="N145" s="179">
        <v>600</v>
      </c>
      <c r="O145" s="179"/>
      <c r="P145" s="180"/>
      <c r="Q145" s="380">
        <f>R145+T145</f>
        <v>226.8</v>
      </c>
      <c r="R145" s="378">
        <v>226.8</v>
      </c>
      <c r="S145" s="378"/>
      <c r="T145" s="379"/>
      <c r="U145" s="182">
        <v>287.1</v>
      </c>
      <c r="V145" s="183">
        <v>287.1</v>
      </c>
      <c r="X145" s="95"/>
    </row>
    <row r="146" spans="1:22" ht="15.75" customHeight="1" thickBot="1">
      <c r="A146" s="806"/>
      <c r="B146" s="815"/>
      <c r="C146" s="812"/>
      <c r="D146" s="796"/>
      <c r="E146" s="798"/>
      <c r="F146" s="809"/>
      <c r="G146" s="803"/>
      <c r="H146" s="366" t="s">
        <v>20</v>
      </c>
      <c r="I146" s="367">
        <f aca="true" t="shared" si="44" ref="I146:V146">SUM(I144:I145)</f>
        <v>450</v>
      </c>
      <c r="J146" s="368">
        <f t="shared" si="44"/>
        <v>50</v>
      </c>
      <c r="K146" s="369">
        <f t="shared" si="44"/>
        <v>0</v>
      </c>
      <c r="L146" s="370">
        <f t="shared" si="44"/>
        <v>400</v>
      </c>
      <c r="M146" s="367">
        <f t="shared" si="44"/>
        <v>700</v>
      </c>
      <c r="N146" s="368">
        <f t="shared" si="44"/>
        <v>700</v>
      </c>
      <c r="O146" s="369">
        <f t="shared" si="44"/>
        <v>0</v>
      </c>
      <c r="P146" s="370">
        <f t="shared" si="44"/>
        <v>0</v>
      </c>
      <c r="Q146" s="367">
        <f t="shared" si="44"/>
        <v>271.8</v>
      </c>
      <c r="R146" s="368">
        <f t="shared" si="44"/>
        <v>271.8</v>
      </c>
      <c r="S146" s="369">
        <f t="shared" si="44"/>
        <v>0</v>
      </c>
      <c r="T146" s="370">
        <f t="shared" si="44"/>
        <v>0</v>
      </c>
      <c r="U146" s="371">
        <f t="shared" si="44"/>
        <v>332.1</v>
      </c>
      <c r="V146" s="372">
        <f t="shared" si="44"/>
        <v>332.1</v>
      </c>
    </row>
    <row r="147" spans="1:24" ht="15.75" customHeight="1">
      <c r="A147" s="804" t="s">
        <v>8</v>
      </c>
      <c r="B147" s="889" t="s">
        <v>38</v>
      </c>
      <c r="C147" s="810" t="s">
        <v>12</v>
      </c>
      <c r="D147" s="794" t="s">
        <v>147</v>
      </c>
      <c r="E147" s="823"/>
      <c r="F147" s="807" t="s">
        <v>12</v>
      </c>
      <c r="G147" s="801" t="s">
        <v>145</v>
      </c>
      <c r="H147" s="282" t="s">
        <v>11</v>
      </c>
      <c r="I147" s="165">
        <f>J147+L147</f>
        <v>0</v>
      </c>
      <c r="J147" s="162"/>
      <c r="K147" s="199"/>
      <c r="L147" s="163"/>
      <c r="M147" s="165">
        <f>N147+P147</f>
        <v>0</v>
      </c>
      <c r="N147" s="162"/>
      <c r="O147" s="162"/>
      <c r="P147" s="163"/>
      <c r="Q147" s="374">
        <f>R147+T147</f>
        <v>0</v>
      </c>
      <c r="R147" s="375"/>
      <c r="S147" s="381"/>
      <c r="T147" s="376"/>
      <c r="U147" s="168"/>
      <c r="V147" s="189"/>
      <c r="X147" s="95"/>
    </row>
    <row r="148" spans="1:22" ht="15.75" customHeight="1">
      <c r="A148" s="805"/>
      <c r="B148" s="890"/>
      <c r="C148" s="811"/>
      <c r="D148" s="795"/>
      <c r="E148" s="824"/>
      <c r="F148" s="808"/>
      <c r="G148" s="802"/>
      <c r="H148" s="284" t="s">
        <v>53</v>
      </c>
      <c r="I148" s="178">
        <f>J148+L148</f>
        <v>272.6</v>
      </c>
      <c r="J148" s="179">
        <v>272.6</v>
      </c>
      <c r="K148" s="306"/>
      <c r="L148" s="180"/>
      <c r="M148" s="178">
        <f>N148+P148</f>
        <v>272.6</v>
      </c>
      <c r="N148" s="179">
        <v>272.6</v>
      </c>
      <c r="O148" s="179"/>
      <c r="P148" s="180"/>
      <c r="Q148" s="380">
        <f>R148+T148</f>
        <v>231.8</v>
      </c>
      <c r="R148" s="378">
        <f>215.4+16.4</f>
        <v>231.8</v>
      </c>
      <c r="S148" s="382"/>
      <c r="T148" s="379"/>
      <c r="U148" s="182">
        <v>272.6</v>
      </c>
      <c r="V148" s="183">
        <v>272.6</v>
      </c>
    </row>
    <row r="149" spans="1:22" ht="15.75" customHeight="1" thickBot="1">
      <c r="A149" s="806"/>
      <c r="B149" s="891"/>
      <c r="C149" s="812"/>
      <c r="D149" s="796"/>
      <c r="E149" s="798"/>
      <c r="F149" s="809"/>
      <c r="G149" s="803"/>
      <c r="H149" s="360" t="s">
        <v>20</v>
      </c>
      <c r="I149" s="361">
        <f aca="true" t="shared" si="45" ref="I149:V149">SUM(I147:I148)</f>
        <v>272.6</v>
      </c>
      <c r="J149" s="359">
        <f t="shared" si="45"/>
        <v>272.6</v>
      </c>
      <c r="K149" s="362">
        <f t="shared" si="45"/>
        <v>0</v>
      </c>
      <c r="L149" s="363">
        <f t="shared" si="45"/>
        <v>0</v>
      </c>
      <c r="M149" s="361">
        <f t="shared" si="45"/>
        <v>272.6</v>
      </c>
      <c r="N149" s="359">
        <f t="shared" si="45"/>
        <v>272.6</v>
      </c>
      <c r="O149" s="362">
        <f t="shared" si="45"/>
        <v>0</v>
      </c>
      <c r="P149" s="363">
        <f t="shared" si="45"/>
        <v>0</v>
      </c>
      <c r="Q149" s="361">
        <f t="shared" si="45"/>
        <v>231.8</v>
      </c>
      <c r="R149" s="359">
        <f t="shared" si="45"/>
        <v>231.8</v>
      </c>
      <c r="S149" s="362">
        <f t="shared" si="45"/>
        <v>0</v>
      </c>
      <c r="T149" s="363">
        <f t="shared" si="45"/>
        <v>0</v>
      </c>
      <c r="U149" s="364">
        <f t="shared" si="45"/>
        <v>272.6</v>
      </c>
      <c r="V149" s="365">
        <f t="shared" si="45"/>
        <v>272.6</v>
      </c>
    </row>
    <row r="150" spans="1:22" ht="15.75" customHeight="1" thickBot="1">
      <c r="A150" s="719" t="s">
        <v>8</v>
      </c>
      <c r="B150" s="718" t="s">
        <v>38</v>
      </c>
      <c r="C150" s="878" t="s">
        <v>19</v>
      </c>
      <c r="D150" s="879"/>
      <c r="E150" s="879"/>
      <c r="F150" s="879"/>
      <c r="G150" s="879"/>
      <c r="H150" s="879"/>
      <c r="I150" s="321">
        <f aca="true" t="shared" si="46" ref="I150:V150">SUM(I149,I146,I143,I140)</f>
        <v>3245.3</v>
      </c>
      <c r="J150" s="322">
        <f t="shared" si="46"/>
        <v>1645.3000000000002</v>
      </c>
      <c r="K150" s="322">
        <f t="shared" si="46"/>
        <v>0</v>
      </c>
      <c r="L150" s="324">
        <f t="shared" si="46"/>
        <v>1600</v>
      </c>
      <c r="M150" s="321">
        <f t="shared" si="46"/>
        <v>7263.8</v>
      </c>
      <c r="N150" s="322">
        <f t="shared" si="46"/>
        <v>5423.6</v>
      </c>
      <c r="O150" s="322">
        <f t="shared" si="46"/>
        <v>0</v>
      </c>
      <c r="P150" s="324">
        <f t="shared" si="46"/>
        <v>1840.2</v>
      </c>
      <c r="Q150" s="321">
        <f t="shared" si="46"/>
        <v>2542</v>
      </c>
      <c r="R150" s="322">
        <f t="shared" si="46"/>
        <v>2022</v>
      </c>
      <c r="S150" s="322">
        <f t="shared" si="46"/>
        <v>0</v>
      </c>
      <c r="T150" s="324">
        <f t="shared" si="46"/>
        <v>520</v>
      </c>
      <c r="U150" s="329">
        <f t="shared" si="46"/>
        <v>2874.2</v>
      </c>
      <c r="V150" s="327">
        <f t="shared" si="46"/>
        <v>2874.2</v>
      </c>
    </row>
    <row r="151" spans="1:24" ht="15.75" customHeight="1">
      <c r="A151" s="720" t="s">
        <v>8</v>
      </c>
      <c r="B151" s="877" t="s">
        <v>21</v>
      </c>
      <c r="C151" s="877"/>
      <c r="D151" s="877"/>
      <c r="E151" s="877"/>
      <c r="F151" s="877"/>
      <c r="G151" s="877"/>
      <c r="H151" s="877"/>
      <c r="I151" s="323">
        <f aca="true" t="shared" si="47" ref="I151:V151">SUM(I150,I136,I113,I100,I91)</f>
        <v>50142.9</v>
      </c>
      <c r="J151" s="318">
        <f t="shared" si="47"/>
        <v>20361.4</v>
      </c>
      <c r="K151" s="318">
        <f t="shared" si="47"/>
        <v>0</v>
      </c>
      <c r="L151" s="325">
        <f t="shared" si="47"/>
        <v>29781.5</v>
      </c>
      <c r="M151" s="323">
        <f t="shared" si="47"/>
        <v>78413.6</v>
      </c>
      <c r="N151" s="318">
        <f t="shared" si="47"/>
        <v>32141.6</v>
      </c>
      <c r="O151" s="318">
        <f t="shared" si="47"/>
        <v>0</v>
      </c>
      <c r="P151" s="325">
        <f t="shared" si="47"/>
        <v>46272</v>
      </c>
      <c r="Q151" s="323">
        <f t="shared" si="47"/>
        <v>64694.899999999994</v>
      </c>
      <c r="R151" s="318">
        <f t="shared" si="47"/>
        <v>22062.800000000003</v>
      </c>
      <c r="S151" s="318">
        <f t="shared" si="47"/>
        <v>0</v>
      </c>
      <c r="T151" s="325">
        <f t="shared" si="47"/>
        <v>42632.1</v>
      </c>
      <c r="U151" s="330">
        <f t="shared" si="47"/>
        <v>75763.3</v>
      </c>
      <c r="V151" s="328">
        <f t="shared" si="47"/>
        <v>41050.1</v>
      </c>
      <c r="X151" s="95"/>
    </row>
    <row r="152" spans="1:22" ht="15.75" customHeight="1" thickBot="1">
      <c r="A152" s="721" t="s">
        <v>13</v>
      </c>
      <c r="B152" s="892" t="s">
        <v>27</v>
      </c>
      <c r="C152" s="892"/>
      <c r="D152" s="892"/>
      <c r="E152" s="892"/>
      <c r="F152" s="892"/>
      <c r="G152" s="892"/>
      <c r="H152" s="892"/>
      <c r="I152" s="218">
        <f aca="true" t="shared" si="48" ref="I152:V152">I151</f>
        <v>50142.9</v>
      </c>
      <c r="J152" s="319">
        <f t="shared" si="48"/>
        <v>20361.4</v>
      </c>
      <c r="K152" s="319">
        <f t="shared" si="48"/>
        <v>0</v>
      </c>
      <c r="L152" s="326">
        <f t="shared" si="48"/>
        <v>29781.5</v>
      </c>
      <c r="M152" s="218">
        <f t="shared" si="48"/>
        <v>78413.6</v>
      </c>
      <c r="N152" s="319">
        <f t="shared" si="48"/>
        <v>32141.6</v>
      </c>
      <c r="O152" s="319">
        <f t="shared" si="48"/>
        <v>0</v>
      </c>
      <c r="P152" s="326">
        <f t="shared" si="48"/>
        <v>46272</v>
      </c>
      <c r="Q152" s="218">
        <f t="shared" si="48"/>
        <v>64694.899999999994</v>
      </c>
      <c r="R152" s="319">
        <f t="shared" si="48"/>
        <v>22062.800000000003</v>
      </c>
      <c r="S152" s="319">
        <f t="shared" si="48"/>
        <v>0</v>
      </c>
      <c r="T152" s="326">
        <f t="shared" si="48"/>
        <v>42632.1</v>
      </c>
      <c r="U152" s="316">
        <f t="shared" si="48"/>
        <v>75763.3</v>
      </c>
      <c r="V152" s="219">
        <f t="shared" si="48"/>
        <v>41050.1</v>
      </c>
    </row>
    <row r="153" spans="1:24" s="110" customFormat="1" ht="15.75" customHeight="1">
      <c r="A153" s="696"/>
      <c r="B153" s="696"/>
      <c r="C153" s="696"/>
      <c r="D153" s="696"/>
      <c r="E153" s="696"/>
      <c r="F153" s="696"/>
      <c r="G153" s="696"/>
      <c r="H153" s="696"/>
      <c r="I153" s="320"/>
      <c r="J153" s="320"/>
      <c r="K153" s="320"/>
      <c r="L153" s="317"/>
      <c r="M153" s="317"/>
      <c r="N153" s="317"/>
      <c r="O153" s="317"/>
      <c r="P153" s="317"/>
      <c r="Q153" s="317"/>
      <c r="R153" s="109"/>
      <c r="S153" s="109"/>
      <c r="T153" s="109"/>
      <c r="U153" s="109"/>
      <c r="V153" s="109"/>
      <c r="X153" s="307"/>
    </row>
    <row r="154" spans="1:22" ht="14.25" customHeight="1">
      <c r="A154" s="1008" t="s">
        <v>36</v>
      </c>
      <c r="B154" s="1008"/>
      <c r="C154" s="1008"/>
      <c r="D154" s="1008"/>
      <c r="E154" s="1008"/>
      <c r="F154" s="1008"/>
      <c r="G154" s="1008"/>
      <c r="H154" s="1008"/>
      <c r="I154" s="1008"/>
      <c r="J154" s="1008"/>
      <c r="K154" s="1008"/>
      <c r="L154" s="1008"/>
      <c r="M154" s="1008"/>
      <c r="N154" s="1008"/>
      <c r="O154" s="1008"/>
      <c r="P154" s="1008"/>
      <c r="Q154" s="1008"/>
      <c r="R154" s="1008"/>
      <c r="S154" s="1008"/>
      <c r="T154" s="1008"/>
      <c r="U154" s="9"/>
      <c r="V154" s="10"/>
    </row>
    <row r="155" spans="1:22" ht="12.75" customHeight="1" thickBot="1">
      <c r="A155" s="11"/>
      <c r="B155" s="11"/>
      <c r="C155" s="12"/>
      <c r="D155" s="93"/>
      <c r="E155" s="496"/>
      <c r="F155" s="28"/>
      <c r="G155" s="13"/>
      <c r="H155" s="296"/>
      <c r="M155" s="96"/>
      <c r="N155" s="14"/>
      <c r="O155" s="15"/>
      <c r="Q155" s="836" t="s">
        <v>46</v>
      </c>
      <c r="R155" s="836"/>
      <c r="S155" s="836"/>
      <c r="T155" s="836"/>
      <c r="U155" s="16"/>
      <c r="V155" s="89"/>
    </row>
    <row r="156" spans="1:24" ht="33.75" customHeight="1" thickBot="1">
      <c r="A156" s="837" t="s">
        <v>28</v>
      </c>
      <c r="B156" s="838"/>
      <c r="C156" s="838"/>
      <c r="D156" s="838"/>
      <c r="E156" s="838"/>
      <c r="F156" s="838"/>
      <c r="G156" s="838"/>
      <c r="H156" s="839"/>
      <c r="I156" s="837" t="s">
        <v>148</v>
      </c>
      <c r="J156" s="838"/>
      <c r="K156" s="838"/>
      <c r="L156" s="839"/>
      <c r="M156" s="837" t="s">
        <v>154</v>
      </c>
      <c r="N156" s="838"/>
      <c r="O156" s="838"/>
      <c r="P156" s="839"/>
      <c r="Q156" s="837" t="s">
        <v>155</v>
      </c>
      <c r="R156" s="838"/>
      <c r="S156" s="838"/>
      <c r="T156" s="839"/>
      <c r="U156" s="311"/>
      <c r="V156" s="312"/>
      <c r="W156" s="313"/>
      <c r="X156" s="313"/>
    </row>
    <row r="157" spans="1:24" ht="15.75" customHeight="1">
      <c r="A157" s="886" t="s">
        <v>33</v>
      </c>
      <c r="B157" s="887"/>
      <c r="C157" s="887"/>
      <c r="D157" s="887"/>
      <c r="E157" s="887"/>
      <c r="F157" s="887"/>
      <c r="G157" s="887"/>
      <c r="H157" s="888"/>
      <c r="I157" s="830">
        <f>SUM(I158:L160)</f>
        <v>18692</v>
      </c>
      <c r="J157" s="831"/>
      <c r="K157" s="831"/>
      <c r="L157" s="832"/>
      <c r="M157" s="830">
        <f>SUM(M158:P160)</f>
        <v>28564.600000000002</v>
      </c>
      <c r="N157" s="831"/>
      <c r="O157" s="831"/>
      <c r="P157" s="832"/>
      <c r="Q157" s="830">
        <f>SUM(Q158:T160)</f>
        <v>20483.1</v>
      </c>
      <c r="R157" s="831"/>
      <c r="S157" s="831"/>
      <c r="T157" s="832"/>
      <c r="U157" s="309"/>
      <c r="V157" s="309"/>
      <c r="W157" s="314"/>
      <c r="X157" s="315"/>
    </row>
    <row r="158" spans="1:22" ht="15.75" customHeight="1">
      <c r="A158" s="904" t="s">
        <v>166</v>
      </c>
      <c r="B158" s="905"/>
      <c r="C158" s="905"/>
      <c r="D158" s="905"/>
      <c r="E158" s="905"/>
      <c r="F158" s="905"/>
      <c r="G158" s="905"/>
      <c r="H158" s="906"/>
      <c r="I158" s="833">
        <f>SUMIF(H12:H152,"SB",I12:I152)</f>
        <v>18333.4</v>
      </c>
      <c r="J158" s="834"/>
      <c r="K158" s="834"/>
      <c r="L158" s="835"/>
      <c r="M158" s="833">
        <f>SUMIF(H12:H152,"SB",M12:M152)</f>
        <v>27430.7</v>
      </c>
      <c r="N158" s="834"/>
      <c r="O158" s="834"/>
      <c r="P158" s="835"/>
      <c r="Q158" s="833">
        <f>SUMIF(H12:H152,"SB",Q12:Q152)</f>
        <v>19449.199999999997</v>
      </c>
      <c r="R158" s="834"/>
      <c r="S158" s="834"/>
      <c r="T158" s="835"/>
      <c r="U158" s="243"/>
      <c r="V158" s="244"/>
    </row>
    <row r="159" spans="1:22" ht="15.75" customHeight="1">
      <c r="A159" s="865" t="s">
        <v>186</v>
      </c>
      <c r="B159" s="866"/>
      <c r="C159" s="866"/>
      <c r="D159" s="866"/>
      <c r="E159" s="866"/>
      <c r="F159" s="866"/>
      <c r="G159" s="866"/>
      <c r="H159" s="867"/>
      <c r="I159" s="856">
        <f>SUMIF(H12:H152,"SB(P)",I12:I152)</f>
        <v>358.6</v>
      </c>
      <c r="J159" s="857"/>
      <c r="K159" s="857"/>
      <c r="L159" s="858"/>
      <c r="M159" s="856">
        <f>SUMIF(H12:H152,"SB(P)",M12:M152)</f>
        <v>1133.9</v>
      </c>
      <c r="N159" s="857"/>
      <c r="O159" s="857"/>
      <c r="P159" s="858"/>
      <c r="Q159" s="856">
        <f>SUMIF(H12:H152,"SB(P)",Q12:Q152)</f>
        <v>1033.9</v>
      </c>
      <c r="R159" s="857"/>
      <c r="S159" s="857"/>
      <c r="T159" s="858"/>
      <c r="U159" s="243"/>
      <c r="V159" s="244"/>
    </row>
    <row r="160" spans="1:22" ht="15.75" customHeight="1">
      <c r="A160" s="883" t="s">
        <v>167</v>
      </c>
      <c r="B160" s="884"/>
      <c r="C160" s="884"/>
      <c r="D160" s="884"/>
      <c r="E160" s="884"/>
      <c r="F160" s="884"/>
      <c r="G160" s="884"/>
      <c r="H160" s="885"/>
      <c r="I160" s="868">
        <f>SUMIF(H12:H152,"PF",I12:I152)</f>
        <v>0</v>
      </c>
      <c r="J160" s="869"/>
      <c r="K160" s="869"/>
      <c r="L160" s="870"/>
      <c r="M160" s="868">
        <f>SUMIF(L12:L152,"PF",M12:M152)</f>
        <v>0</v>
      </c>
      <c r="N160" s="869"/>
      <c r="O160" s="869"/>
      <c r="P160" s="870"/>
      <c r="Q160" s="868">
        <f>SUMIF(P12:P152,"PF",Q12:Q152)</f>
        <v>0</v>
      </c>
      <c r="R160" s="869"/>
      <c r="S160" s="869"/>
      <c r="T160" s="870"/>
      <c r="U160" s="243"/>
      <c r="V160" s="244"/>
    </row>
    <row r="161" spans="1:22" ht="15.75" customHeight="1">
      <c r="A161" s="874" t="s">
        <v>34</v>
      </c>
      <c r="B161" s="875"/>
      <c r="C161" s="875"/>
      <c r="D161" s="875"/>
      <c r="E161" s="875"/>
      <c r="F161" s="875"/>
      <c r="G161" s="875"/>
      <c r="H161" s="876"/>
      <c r="I161" s="871">
        <f>SUM(I162:L166)</f>
        <v>31450.9</v>
      </c>
      <c r="J161" s="872"/>
      <c r="K161" s="872"/>
      <c r="L161" s="873"/>
      <c r="M161" s="871">
        <f>SUM(M162:P166)</f>
        <v>49849</v>
      </c>
      <c r="N161" s="872"/>
      <c r="O161" s="872"/>
      <c r="P161" s="873"/>
      <c r="Q161" s="871">
        <f>SUM(Q162:T166)</f>
        <v>44211.799999999996</v>
      </c>
      <c r="R161" s="872"/>
      <c r="S161" s="872"/>
      <c r="T161" s="873"/>
      <c r="U161" s="245"/>
      <c r="V161" s="17"/>
    </row>
    <row r="162" spans="1:22" ht="15.75" customHeight="1">
      <c r="A162" s="880" t="s">
        <v>168</v>
      </c>
      <c r="B162" s="881"/>
      <c r="C162" s="881"/>
      <c r="D162" s="881"/>
      <c r="E162" s="881"/>
      <c r="F162" s="881"/>
      <c r="G162" s="881"/>
      <c r="H162" s="882"/>
      <c r="I162" s="833">
        <f>SUMIF(H12:H152,"ES",I12:I152)</f>
        <v>14080.9</v>
      </c>
      <c r="J162" s="834"/>
      <c r="K162" s="834"/>
      <c r="L162" s="835"/>
      <c r="M162" s="833">
        <f>SUMIF(H12:H152,"ES",M12:M152)</f>
        <v>24139.9</v>
      </c>
      <c r="N162" s="834"/>
      <c r="O162" s="834"/>
      <c r="P162" s="835"/>
      <c r="Q162" s="833">
        <f>SUMIF(H12:H152,"ES",Q12:Q152)</f>
        <v>24247</v>
      </c>
      <c r="R162" s="834"/>
      <c r="S162" s="834"/>
      <c r="T162" s="835"/>
      <c r="U162" s="243"/>
      <c r="V162" s="244"/>
    </row>
    <row r="163" spans="1:22" ht="15.75" customHeight="1">
      <c r="A163" s="862" t="s">
        <v>170</v>
      </c>
      <c r="B163" s="863"/>
      <c r="C163" s="863"/>
      <c r="D163" s="863"/>
      <c r="E163" s="863"/>
      <c r="F163" s="863"/>
      <c r="G163" s="863"/>
      <c r="H163" s="864"/>
      <c r="I163" s="856">
        <f>SUMIF(H12:H152,"KPP",I12:I152)</f>
        <v>16663.1</v>
      </c>
      <c r="J163" s="857"/>
      <c r="K163" s="857"/>
      <c r="L163" s="858"/>
      <c r="M163" s="856">
        <f>SUMIF(H12:H152,"KPP",M12:M152)</f>
        <v>14449.1</v>
      </c>
      <c r="N163" s="857"/>
      <c r="O163" s="857"/>
      <c r="P163" s="858"/>
      <c r="Q163" s="856">
        <f>SUMIF(H12:H152,"KPP",Q12:Q152)</f>
        <v>8691.599999999999</v>
      </c>
      <c r="R163" s="857"/>
      <c r="S163" s="857"/>
      <c r="T163" s="858"/>
      <c r="U163" s="248"/>
      <c r="V163" s="249"/>
    </row>
    <row r="164" spans="1:22" s="77" customFormat="1" ht="15.75" customHeight="1">
      <c r="A164" s="865" t="s">
        <v>169</v>
      </c>
      <c r="B164" s="866"/>
      <c r="C164" s="866"/>
      <c r="D164" s="866"/>
      <c r="E164" s="866"/>
      <c r="F164" s="866"/>
      <c r="G164" s="866"/>
      <c r="H164" s="867"/>
      <c r="I164" s="856">
        <f>SUMIF(H12:H152,"LRVB",I12:I152)</f>
        <v>506.9</v>
      </c>
      <c r="J164" s="857"/>
      <c r="K164" s="857"/>
      <c r="L164" s="858"/>
      <c r="M164" s="856">
        <f>SUMIF(H12:H152,"LRVB",M12:M152)</f>
        <v>633.5</v>
      </c>
      <c r="N164" s="857"/>
      <c r="O164" s="857"/>
      <c r="P164" s="858"/>
      <c r="Q164" s="856">
        <f>SUMIF(H12:H152,"LRVB",Q12:Q152)</f>
        <v>646.7</v>
      </c>
      <c r="R164" s="857"/>
      <c r="S164" s="857"/>
      <c r="T164" s="858"/>
      <c r="U164" s="246"/>
      <c r="V164" s="247"/>
    </row>
    <row r="165" spans="1:22" ht="15.75" customHeight="1">
      <c r="A165" s="862" t="s">
        <v>171</v>
      </c>
      <c r="B165" s="863"/>
      <c r="C165" s="863"/>
      <c r="D165" s="863"/>
      <c r="E165" s="863"/>
      <c r="F165" s="863"/>
      <c r="G165" s="863"/>
      <c r="H165" s="864"/>
      <c r="I165" s="856">
        <f>SUMIF(H12:H152,"KVJUD",I12:I152)</f>
        <v>0</v>
      </c>
      <c r="J165" s="857"/>
      <c r="K165" s="857"/>
      <c r="L165" s="858"/>
      <c r="M165" s="856">
        <f>SUMIF(H12:H152,"KVJUD",M12:M152)</f>
        <v>7000</v>
      </c>
      <c r="N165" s="857"/>
      <c r="O165" s="857"/>
      <c r="P165" s="858"/>
      <c r="Q165" s="856">
        <f>SUMIF(H12:H152,"KVJUD",Q12:Q152)</f>
        <v>7000</v>
      </c>
      <c r="R165" s="857"/>
      <c r="S165" s="857"/>
      <c r="T165" s="858"/>
      <c r="U165" s="243"/>
      <c r="V165" s="244"/>
    </row>
    <row r="166" spans="1:22" ht="15.75" customHeight="1">
      <c r="A166" s="865" t="s">
        <v>172</v>
      </c>
      <c r="B166" s="866"/>
      <c r="C166" s="866"/>
      <c r="D166" s="866"/>
      <c r="E166" s="866"/>
      <c r="F166" s="866"/>
      <c r="G166" s="866"/>
      <c r="H166" s="867"/>
      <c r="I166" s="856">
        <f>SUMIF(H12:H152,"Kt",I12:I152)</f>
        <v>200</v>
      </c>
      <c r="J166" s="857"/>
      <c r="K166" s="857"/>
      <c r="L166" s="858"/>
      <c r="M166" s="856">
        <f>SUMIF(H12:H152,"Kt",M12:M152)</f>
        <v>3626.5</v>
      </c>
      <c r="N166" s="857"/>
      <c r="O166" s="857"/>
      <c r="P166" s="858"/>
      <c r="Q166" s="856">
        <f>SUMIF(H12:H152,"Kt",Q12:Q152)</f>
        <v>3626.5</v>
      </c>
      <c r="R166" s="857"/>
      <c r="S166" s="857"/>
      <c r="T166" s="858"/>
      <c r="U166" s="243"/>
      <c r="V166" s="244"/>
    </row>
    <row r="167" spans="1:22" ht="15.75" customHeight="1" thickBot="1">
      <c r="A167" s="859" t="s">
        <v>35</v>
      </c>
      <c r="B167" s="860"/>
      <c r="C167" s="860"/>
      <c r="D167" s="860"/>
      <c r="E167" s="860"/>
      <c r="F167" s="860"/>
      <c r="G167" s="860"/>
      <c r="H167" s="861"/>
      <c r="I167" s="853">
        <f>I161+I157</f>
        <v>50142.9</v>
      </c>
      <c r="J167" s="854"/>
      <c r="K167" s="854"/>
      <c r="L167" s="855"/>
      <c r="M167" s="853">
        <f>M161+M157</f>
        <v>78413.6</v>
      </c>
      <c r="N167" s="854"/>
      <c r="O167" s="854"/>
      <c r="P167" s="855"/>
      <c r="Q167" s="853">
        <f>Q161+Q157</f>
        <v>64694.899999999994</v>
      </c>
      <c r="R167" s="854"/>
      <c r="S167" s="854"/>
      <c r="T167" s="855"/>
      <c r="U167" s="250"/>
      <c r="V167" s="251"/>
    </row>
    <row r="170" spans="9:16" ht="12.75">
      <c r="I170" s="95"/>
      <c r="J170" s="95"/>
      <c r="N170" s="95"/>
      <c r="P170" s="95"/>
    </row>
  </sheetData>
  <sheetProtection/>
  <mergeCells count="281">
    <mergeCell ref="G70:G74"/>
    <mergeCell ref="F97:F99"/>
    <mergeCell ref="G93:G96"/>
    <mergeCell ref="A83:A90"/>
    <mergeCell ref="B83:B90"/>
    <mergeCell ref="C83:C90"/>
    <mergeCell ref="E83:E90"/>
    <mergeCell ref="F83:F90"/>
    <mergeCell ref="G83:G90"/>
    <mergeCell ref="D83:D84"/>
    <mergeCell ref="F75:F79"/>
    <mergeCell ref="F70:F74"/>
    <mergeCell ref="D80:D82"/>
    <mergeCell ref="E98:E99"/>
    <mergeCell ref="F63:F65"/>
    <mergeCell ref="F93:F96"/>
    <mergeCell ref="F80:F82"/>
    <mergeCell ref="E124:E125"/>
    <mergeCell ref="C100:H100"/>
    <mergeCell ref="G115:G117"/>
    <mergeCell ref="G102:G108"/>
    <mergeCell ref="G66:G69"/>
    <mergeCell ref="D93:D96"/>
    <mergeCell ref="D109:D112"/>
    <mergeCell ref="C12:C19"/>
    <mergeCell ref="B93:B96"/>
    <mergeCell ref="B102:B108"/>
    <mergeCell ref="E15:E19"/>
    <mergeCell ref="D57:D58"/>
    <mergeCell ref="B12:B19"/>
    <mergeCell ref="D34:D35"/>
    <mergeCell ref="C36:C43"/>
    <mergeCell ref="E36:E43"/>
    <mergeCell ref="B63:B65"/>
    <mergeCell ref="A144:A146"/>
    <mergeCell ref="A141:A143"/>
    <mergeCell ref="A147:A149"/>
    <mergeCell ref="B141:B143"/>
    <mergeCell ref="B144:B146"/>
    <mergeCell ref="A138:A140"/>
    <mergeCell ref="C136:H136"/>
    <mergeCell ref="E138:E140"/>
    <mergeCell ref="F66:F69"/>
    <mergeCell ref="B66:B69"/>
    <mergeCell ref="B97:B99"/>
    <mergeCell ref="C102:C108"/>
    <mergeCell ref="E127:E128"/>
    <mergeCell ref="B70:B74"/>
    <mergeCell ref="E77:E79"/>
    <mergeCell ref="A127:A132"/>
    <mergeCell ref="A133:A135"/>
    <mergeCell ref="B127:B132"/>
    <mergeCell ref="C127:C132"/>
    <mergeCell ref="A80:A82"/>
    <mergeCell ref="A93:A96"/>
    <mergeCell ref="C80:C82"/>
    <mergeCell ref="C92:V92"/>
    <mergeCell ref="E94:E96"/>
    <mergeCell ref="E80:E82"/>
    <mergeCell ref="B57:B62"/>
    <mergeCell ref="B44:B51"/>
    <mergeCell ref="G44:G51"/>
    <mergeCell ref="G127:G132"/>
    <mergeCell ref="B109:B112"/>
    <mergeCell ref="C93:C96"/>
    <mergeCell ref="B80:B82"/>
    <mergeCell ref="E131:E132"/>
    <mergeCell ref="D63:D65"/>
    <mergeCell ref="E63:E65"/>
    <mergeCell ref="C66:C69"/>
    <mergeCell ref="D66:D69"/>
    <mergeCell ref="P6:P7"/>
    <mergeCell ref="A12:A19"/>
    <mergeCell ref="E59:E62"/>
    <mergeCell ref="E12:E14"/>
    <mergeCell ref="A57:A62"/>
    <mergeCell ref="G28:G35"/>
    <mergeCell ref="B52:B56"/>
    <mergeCell ref="B28:B35"/>
    <mergeCell ref="A70:A74"/>
    <mergeCell ref="A75:A79"/>
    <mergeCell ref="B75:B79"/>
    <mergeCell ref="D75:D79"/>
    <mergeCell ref="C75:C79"/>
    <mergeCell ref="C70:C74"/>
    <mergeCell ref="D70:D74"/>
    <mergeCell ref="G5:G7"/>
    <mergeCell ref="A2:V2"/>
    <mergeCell ref="A3:V3"/>
    <mergeCell ref="A5:A7"/>
    <mergeCell ref="B5:B7"/>
    <mergeCell ref="C5:C7"/>
    <mergeCell ref="D5:D7"/>
    <mergeCell ref="F5:F7"/>
    <mergeCell ref="L6:L7"/>
    <mergeCell ref="U5:U7"/>
    <mergeCell ref="R6:S6"/>
    <mergeCell ref="H5:H7"/>
    <mergeCell ref="Q5:T5"/>
    <mergeCell ref="I5:L5"/>
    <mergeCell ref="M6:M7"/>
    <mergeCell ref="J6:K6"/>
    <mergeCell ref="M5:P5"/>
    <mergeCell ref="T6:T7"/>
    <mergeCell ref="G36:G43"/>
    <mergeCell ref="B20:B27"/>
    <mergeCell ref="G12:G19"/>
    <mergeCell ref="A9:V9"/>
    <mergeCell ref="C11:V11"/>
    <mergeCell ref="A36:A43"/>
    <mergeCell ref="B10:V10"/>
    <mergeCell ref="G20:G27"/>
    <mergeCell ref="D16:D17"/>
    <mergeCell ref="B36:B43"/>
    <mergeCell ref="E57:E58"/>
    <mergeCell ref="C44:C51"/>
    <mergeCell ref="I6:I7"/>
    <mergeCell ref="G63:G65"/>
    <mergeCell ref="F57:F62"/>
    <mergeCell ref="E53:E56"/>
    <mergeCell ref="G52:G56"/>
    <mergeCell ref="F44:F51"/>
    <mergeCell ref="E20:E22"/>
    <mergeCell ref="D52:D56"/>
    <mergeCell ref="Q6:Q7"/>
    <mergeCell ref="E28:E35"/>
    <mergeCell ref="F28:F35"/>
    <mergeCell ref="C20:C27"/>
    <mergeCell ref="C28:C35"/>
    <mergeCell ref="E5:E7"/>
    <mergeCell ref="D21:D22"/>
    <mergeCell ref="F20:F27"/>
    <mergeCell ref="A8:V8"/>
    <mergeCell ref="V5:V7"/>
    <mergeCell ref="A44:A51"/>
    <mergeCell ref="F12:F19"/>
    <mergeCell ref="E23:E26"/>
    <mergeCell ref="F52:F56"/>
    <mergeCell ref="C52:C56"/>
    <mergeCell ref="A28:A35"/>
    <mergeCell ref="E44:E51"/>
    <mergeCell ref="F36:F43"/>
    <mergeCell ref="A52:A56"/>
    <mergeCell ref="A20:A27"/>
    <mergeCell ref="N6:O6"/>
    <mergeCell ref="I156:L156"/>
    <mergeCell ref="D61:D62"/>
    <mergeCell ref="C57:C62"/>
    <mergeCell ref="F141:F143"/>
    <mergeCell ref="C138:C140"/>
    <mergeCell ref="G75:G79"/>
    <mergeCell ref="D131:D132"/>
    <mergeCell ref="G80:G82"/>
    <mergeCell ref="G57:G62"/>
    <mergeCell ref="B138:B140"/>
    <mergeCell ref="E141:E143"/>
    <mergeCell ref="D141:D143"/>
    <mergeCell ref="G133:G135"/>
    <mergeCell ref="D138:D140"/>
    <mergeCell ref="A97:A99"/>
    <mergeCell ref="A102:A108"/>
    <mergeCell ref="C133:C135"/>
    <mergeCell ref="G144:G146"/>
    <mergeCell ref="G141:G143"/>
    <mergeCell ref="F133:F135"/>
    <mergeCell ref="B133:B135"/>
    <mergeCell ref="E134:E135"/>
    <mergeCell ref="C101:V101"/>
    <mergeCell ref="G138:G140"/>
    <mergeCell ref="A160:H160"/>
    <mergeCell ref="I159:L159"/>
    <mergeCell ref="A157:H157"/>
    <mergeCell ref="D147:D149"/>
    <mergeCell ref="B147:B149"/>
    <mergeCell ref="B152:H152"/>
    <mergeCell ref="I160:L160"/>
    <mergeCell ref="A158:H158"/>
    <mergeCell ref="A154:T154"/>
    <mergeCell ref="M159:P159"/>
    <mergeCell ref="B151:H151"/>
    <mergeCell ref="C147:C149"/>
    <mergeCell ref="E147:E149"/>
    <mergeCell ref="A156:H156"/>
    <mergeCell ref="M156:P156"/>
    <mergeCell ref="F147:F149"/>
    <mergeCell ref="C150:H150"/>
    <mergeCell ref="A159:H159"/>
    <mergeCell ref="G147:G149"/>
    <mergeCell ref="I165:L165"/>
    <mergeCell ref="M165:P165"/>
    <mergeCell ref="A163:H163"/>
    <mergeCell ref="M161:P161"/>
    <mergeCell ref="I161:L161"/>
    <mergeCell ref="A162:H162"/>
    <mergeCell ref="I162:L162"/>
    <mergeCell ref="I164:L164"/>
    <mergeCell ref="M162:P162"/>
    <mergeCell ref="A161:H161"/>
    <mergeCell ref="A164:H164"/>
    <mergeCell ref="Q166:T166"/>
    <mergeCell ref="Q159:T159"/>
    <mergeCell ref="Q164:T164"/>
    <mergeCell ref="M163:P163"/>
    <mergeCell ref="M160:P160"/>
    <mergeCell ref="Q163:T163"/>
    <mergeCell ref="M166:P166"/>
    <mergeCell ref="Q162:T162"/>
    <mergeCell ref="Q160:T160"/>
    <mergeCell ref="Q161:T161"/>
    <mergeCell ref="Q167:T167"/>
    <mergeCell ref="Q165:T165"/>
    <mergeCell ref="I163:L163"/>
    <mergeCell ref="A167:H167"/>
    <mergeCell ref="M164:P164"/>
    <mergeCell ref="A165:H165"/>
    <mergeCell ref="M167:P167"/>
    <mergeCell ref="A166:H166"/>
    <mergeCell ref="I166:L166"/>
    <mergeCell ref="I167:L167"/>
    <mergeCell ref="I158:L158"/>
    <mergeCell ref="C137:Q137"/>
    <mergeCell ref="E144:E146"/>
    <mergeCell ref="C144:C146"/>
    <mergeCell ref="F138:F140"/>
    <mergeCell ref="C141:C143"/>
    <mergeCell ref="F144:F146"/>
    <mergeCell ref="D144:D146"/>
    <mergeCell ref="D133:D135"/>
    <mergeCell ref="F109:F112"/>
    <mergeCell ref="E129:E130"/>
    <mergeCell ref="F124:F126"/>
    <mergeCell ref="I157:L157"/>
    <mergeCell ref="Q155:T155"/>
    <mergeCell ref="Q156:T156"/>
    <mergeCell ref="F127:F132"/>
    <mergeCell ref="Q157:T157"/>
    <mergeCell ref="M157:P157"/>
    <mergeCell ref="M158:P158"/>
    <mergeCell ref="Q158:T158"/>
    <mergeCell ref="D129:D130"/>
    <mergeCell ref="A63:A65"/>
    <mergeCell ref="A66:A69"/>
    <mergeCell ref="E75:E76"/>
    <mergeCell ref="E67:E69"/>
    <mergeCell ref="C63:C65"/>
    <mergeCell ref="E121:E122"/>
    <mergeCell ref="C91:H91"/>
    <mergeCell ref="E109:E112"/>
    <mergeCell ref="G109:G112"/>
    <mergeCell ref="E71:E74"/>
    <mergeCell ref="C115:C117"/>
    <mergeCell ref="E102:E108"/>
    <mergeCell ref="E118:E120"/>
    <mergeCell ref="C109:C112"/>
    <mergeCell ref="D115:D117"/>
    <mergeCell ref="C113:H113"/>
    <mergeCell ref="D97:D99"/>
    <mergeCell ref="C97:C99"/>
    <mergeCell ref="G97:G99"/>
    <mergeCell ref="A109:A112"/>
    <mergeCell ref="D121:D123"/>
    <mergeCell ref="B118:B120"/>
    <mergeCell ref="B115:B117"/>
    <mergeCell ref="C118:C120"/>
    <mergeCell ref="D118:D120"/>
    <mergeCell ref="G118:G120"/>
    <mergeCell ref="C124:C126"/>
    <mergeCell ref="C114:V114"/>
    <mergeCell ref="F118:F120"/>
    <mergeCell ref="E115:E117"/>
    <mergeCell ref="F115:F117"/>
    <mergeCell ref="D124:D126"/>
    <mergeCell ref="A115:A117"/>
    <mergeCell ref="B124:B126"/>
    <mergeCell ref="A121:A123"/>
    <mergeCell ref="B121:B123"/>
    <mergeCell ref="G121:G123"/>
    <mergeCell ref="A124:A126"/>
    <mergeCell ref="F121:F123"/>
    <mergeCell ref="C121:C123"/>
    <mergeCell ref="G124:G126"/>
  </mergeCells>
  <printOptions horizontalCentered="1"/>
  <pageMargins left="0" right="0" top="0" bottom="0" header="0" footer="0"/>
  <pageSetup horizontalDpi="600" verticalDpi="600" orientation="landscape" paperSize="9" scale="75" r:id="rId1"/>
  <headerFooter alignWithMargins="0">
    <oddFooter>&amp;CPuslapių &amp;P</oddFooter>
  </headerFooter>
  <rowBreaks count="4" manualBreakCount="4">
    <brk id="35" max="21" man="1"/>
    <brk id="69" max="21" man="1"/>
    <brk id="108" max="21" man="1"/>
    <brk id="1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2.7109375" style="18" customWidth="1"/>
    <col min="2" max="6" width="11.7109375" style="18" customWidth="1"/>
    <col min="7" max="16384" width="9.140625" style="18" customWidth="1"/>
  </cols>
  <sheetData>
    <row r="1" spans="1:6" s="22" customFormat="1" ht="18" customHeight="1">
      <c r="A1" s="1042" t="s">
        <v>57</v>
      </c>
      <c r="B1" s="1042"/>
      <c r="C1" s="1042"/>
      <c r="D1" s="1042"/>
      <c r="E1" s="1042"/>
      <c r="F1" s="1042"/>
    </row>
    <row r="2" s="22" customFormat="1" ht="18" customHeight="1" thickBot="1">
      <c r="F2" s="258" t="s">
        <v>32</v>
      </c>
    </row>
    <row r="3" spans="1:6" ht="14.25" customHeight="1">
      <c r="A3" s="1046" t="s">
        <v>23</v>
      </c>
      <c r="B3" s="1043" t="s">
        <v>284</v>
      </c>
      <c r="C3" s="1046" t="s">
        <v>154</v>
      </c>
      <c r="D3" s="1043" t="s">
        <v>283</v>
      </c>
      <c r="E3" s="1043" t="s">
        <v>130</v>
      </c>
      <c r="F3" s="1043" t="s">
        <v>158</v>
      </c>
    </row>
    <row r="4" spans="1:6" ht="9.75" customHeight="1">
      <c r="A4" s="1047"/>
      <c r="B4" s="1044"/>
      <c r="C4" s="1049"/>
      <c r="D4" s="1044"/>
      <c r="E4" s="1044"/>
      <c r="F4" s="1044"/>
    </row>
    <row r="5" spans="1:6" ht="12.75">
      <c r="A5" s="1047"/>
      <c r="B5" s="1044"/>
      <c r="C5" s="1049"/>
      <c r="D5" s="1044"/>
      <c r="E5" s="1044"/>
      <c r="F5" s="1044"/>
    </row>
    <row r="6" spans="1:6" ht="32.25" customHeight="1" thickBot="1">
      <c r="A6" s="1048"/>
      <c r="B6" s="1045"/>
      <c r="C6" s="1050"/>
      <c r="D6" s="1045"/>
      <c r="E6" s="1045"/>
      <c r="F6" s="1045"/>
    </row>
    <row r="7" spans="1:8" ht="15.75" customHeight="1">
      <c r="A7" s="481" t="s">
        <v>40</v>
      </c>
      <c r="B7" s="482">
        <f>B8+B10</f>
        <v>50142.9</v>
      </c>
      <c r="C7" s="482">
        <f>C8+C10</f>
        <v>78413.6</v>
      </c>
      <c r="D7" s="482">
        <f>D8+D10</f>
        <v>64694.9</v>
      </c>
      <c r="E7" s="482">
        <f>'1 lentelė'!U152</f>
        <v>75763.3</v>
      </c>
      <c r="F7" s="482">
        <f>'1 lentelė'!V152</f>
        <v>41050.1</v>
      </c>
      <c r="G7" s="20"/>
      <c r="H7" s="19"/>
    </row>
    <row r="8" spans="1:8" ht="15.75" customHeight="1">
      <c r="A8" s="704" t="s">
        <v>41</v>
      </c>
      <c r="B8" s="252">
        <f>SUM('1 lentelė'!J152)</f>
        <v>20361.4</v>
      </c>
      <c r="C8" s="253">
        <f>SUM('1 lentelė'!N152)</f>
        <v>32141.6</v>
      </c>
      <c r="D8" s="483">
        <f>SUM('1 lentelė'!R152)</f>
        <v>22062.800000000003</v>
      </c>
      <c r="E8" s="252"/>
      <c r="F8" s="254"/>
      <c r="G8" s="19"/>
      <c r="H8" s="19"/>
    </row>
    <row r="9" spans="1:8" ht="15.75" customHeight="1">
      <c r="A9" s="24" t="s">
        <v>42</v>
      </c>
      <c r="B9" s="255">
        <f>'1 lentelė'!K152</f>
        <v>0</v>
      </c>
      <c r="C9" s="256">
        <f>'1 lentelė'!O152</f>
        <v>0</v>
      </c>
      <c r="D9" s="484">
        <f>'1 lentelė'!S152</f>
        <v>0</v>
      </c>
      <c r="E9" s="252"/>
      <c r="F9" s="257"/>
      <c r="G9" s="19"/>
      <c r="H9" s="19"/>
    </row>
    <row r="10" spans="1:8" ht="15.75" customHeight="1" thickBot="1">
      <c r="A10" s="736" t="s">
        <v>24</v>
      </c>
      <c r="B10" s="737">
        <f>SUM('1 lentelė'!L152)</f>
        <v>29781.5</v>
      </c>
      <c r="C10" s="738">
        <f>SUM('1 lentelė'!P152)</f>
        <v>46272</v>
      </c>
      <c r="D10" s="739">
        <f>SUM('1 lentelė'!T152)</f>
        <v>42632.1</v>
      </c>
      <c r="E10" s="737"/>
      <c r="F10" s="740"/>
      <c r="G10" s="19"/>
      <c r="H10" s="19"/>
    </row>
    <row r="11" spans="1:6" ht="15.75" customHeight="1">
      <c r="A11" s="481" t="s">
        <v>43</v>
      </c>
      <c r="B11" s="482">
        <f>B12+B16</f>
        <v>50142.9</v>
      </c>
      <c r="C11" s="482">
        <f>C12+C16</f>
        <v>78413.6</v>
      </c>
      <c r="D11" s="482">
        <f>D12+D16</f>
        <v>64694.899999999994</v>
      </c>
      <c r="E11" s="482">
        <f>E12+E16</f>
        <v>75763.29999999999</v>
      </c>
      <c r="F11" s="482">
        <f>F12+F16</f>
        <v>41050.100000000006</v>
      </c>
    </row>
    <row r="12" spans="1:6" ht="15.75" customHeight="1">
      <c r="A12" s="730" t="s">
        <v>44</v>
      </c>
      <c r="B12" s="731">
        <f>SUM(B13:B15)</f>
        <v>18692</v>
      </c>
      <c r="C12" s="731">
        <f>SUM(C13:C15)</f>
        <v>28564.600000000002</v>
      </c>
      <c r="D12" s="731">
        <f>SUM(D13:D15)</f>
        <v>20483.1</v>
      </c>
      <c r="E12" s="731">
        <f>SUM(E13:E15)</f>
        <v>19477.6</v>
      </c>
      <c r="F12" s="731">
        <f>SUM(F13:F15)</f>
        <v>20617.9</v>
      </c>
    </row>
    <row r="13" spans="1:6" ht="15.75" customHeight="1">
      <c r="A13" s="729" t="s">
        <v>286</v>
      </c>
      <c r="B13" s="259">
        <f>SUMIF('1 lentelė'!H12:H152,"SB",'1 lentelė'!I12:I152)</f>
        <v>18333.4</v>
      </c>
      <c r="C13" s="259">
        <f>SUMIF('1 lentelė'!H12:H152,"SB",'1 lentelė'!M12:M152)</f>
        <v>27430.7</v>
      </c>
      <c r="D13" s="485">
        <f>SUMIF('1 lentelė'!H12:H152,"SB",'1 lentelė'!Q12:Q152)</f>
        <v>19449.199999999997</v>
      </c>
      <c r="E13" s="259">
        <f>SUMIF('1 lentelė'!H12:H152,"SB",'1 lentelė'!U12:U152)</f>
        <v>18212.8</v>
      </c>
      <c r="F13" s="259">
        <f>SUMIF('1 lentelė'!H12:H152,"SB",'1 lentelė'!V12:V152)</f>
        <v>18117.9</v>
      </c>
    </row>
    <row r="14" spans="1:6" ht="15.75" customHeight="1">
      <c r="A14" s="700" t="s">
        <v>287</v>
      </c>
      <c r="B14" s="259">
        <f>SUMIF('1 lentelė'!H12:H152,"SB(P)",'1 lentelė'!I12:I152)</f>
        <v>358.6</v>
      </c>
      <c r="C14" s="259">
        <f>SUMIF('1 lentelė'!H12:H152,"SB(P)",'1 lentelė'!M12:M152)</f>
        <v>1133.9</v>
      </c>
      <c r="D14" s="485">
        <f>SUMIF('1 lentelė'!H12:H152,"SB(P)",'1 lentelė'!Q12:Q152)</f>
        <v>1033.9</v>
      </c>
      <c r="E14" s="259">
        <f>SUMIF('1 lentelė'!H12:H152,"SB(P)",'1 lentelė'!U12:U152)</f>
        <v>1264.8</v>
      </c>
      <c r="F14" s="259">
        <f>SUMIF('1 lentelė'!H12:H152,"SB(P)",'1 lentelė'!V12:V152)</f>
        <v>2500</v>
      </c>
    </row>
    <row r="15" spans="1:6" ht="15.75" customHeight="1">
      <c r="A15" s="700" t="s">
        <v>288</v>
      </c>
      <c r="B15" s="732">
        <f>SUMIF('1 lentelė'!H12:H152,"PF",'1 lentelė'!I12:I152)</f>
        <v>0</v>
      </c>
      <c r="C15" s="732">
        <f>SUMIF('1 lentelė'!H12:H152,"PF",'1 lentelė'!M12:M152)</f>
        <v>0</v>
      </c>
      <c r="D15" s="728">
        <f>SUMIF('1 lentelė'!H12:H152,"PF",'1 lentelė'!Q12:Q152)</f>
        <v>0</v>
      </c>
      <c r="E15" s="732">
        <f>SUMIF('1 lentelė'!H12:H152,"PF",'1 lentelė'!U12:U152)</f>
        <v>0</v>
      </c>
      <c r="F15" s="732">
        <f>SUMIF('1 lentelė'!H12:H152,"PF",'1 lentelė'!V12:V152)</f>
        <v>0</v>
      </c>
    </row>
    <row r="16" spans="1:6" ht="15.75" customHeight="1">
      <c r="A16" s="735" t="s">
        <v>45</v>
      </c>
      <c r="B16" s="731">
        <f>SUM(B17:B21)</f>
        <v>31450.9</v>
      </c>
      <c r="C16" s="731">
        <f>SUM(C17:C21)</f>
        <v>49849</v>
      </c>
      <c r="D16" s="731">
        <f>SUM(D17:D21)</f>
        <v>44211.799999999996</v>
      </c>
      <c r="E16" s="731">
        <f>SUM(E17:E21)</f>
        <v>56285.7</v>
      </c>
      <c r="F16" s="731">
        <f>SUM(F17:F21)</f>
        <v>20432.2</v>
      </c>
    </row>
    <row r="17" spans="1:6" ht="15.75" customHeight="1">
      <c r="A17" s="734" t="s">
        <v>116</v>
      </c>
      <c r="B17" s="259">
        <f>SUMIF('1 lentelė'!H12:H152,"ES",'1 lentelė'!I12:I152)</f>
        <v>14080.9</v>
      </c>
      <c r="C17" s="259">
        <f>SUMIF('1 lentelė'!H12:H152,"ES",'1 lentelė'!M12:M152)</f>
        <v>24139.9</v>
      </c>
      <c r="D17" s="485">
        <f>SUMIF('1 lentelė'!H12:H152,"ES",'1 lentelė'!Q12:Q152)</f>
        <v>24247</v>
      </c>
      <c r="E17" s="259">
        <f>SUMIF('1 lentelė'!H12:H152,"ES",'1 lentelė'!U12:U152)</f>
        <v>23917.100000000002</v>
      </c>
      <c r="F17" s="259">
        <f>SUMIF('1 lentelė'!H12:H152,"ES",'1 lentelė'!V12:V152)</f>
        <v>848.1999999999999</v>
      </c>
    </row>
    <row r="18" spans="1:6" ht="15.75" customHeight="1">
      <c r="A18" s="701" t="s">
        <v>289</v>
      </c>
      <c r="B18" s="259">
        <f>SUMIF('1 lentelė'!H12:H152,"KPP",'1 lentelė'!I12:I152)</f>
        <v>16663.1</v>
      </c>
      <c r="C18" s="259">
        <f>SUMIF('1 lentelė'!H12:H152,"KPP",'1 lentelė'!M12:M152)</f>
        <v>14449.1</v>
      </c>
      <c r="D18" s="485">
        <f>SUMIF('1 lentelė'!H12:H152,"KPP",'1 lentelė'!Q12:Q152)</f>
        <v>8691.599999999999</v>
      </c>
      <c r="E18" s="259">
        <f>SUMIF('1 lentelė'!H12:H152,"KPP",'1 lentelė'!U12:U152)</f>
        <v>23343.299999999996</v>
      </c>
      <c r="F18" s="259">
        <f>SUMIF('1 lentelė'!H12:H152,"KPP",'1 lentelė'!V12:V152)</f>
        <v>11937.6</v>
      </c>
    </row>
    <row r="19" spans="1:6" ht="15.75" customHeight="1">
      <c r="A19" s="702" t="s">
        <v>290</v>
      </c>
      <c r="B19" s="259">
        <f>SUMIF('1 lentelė'!H12:H152,"LRVB",'1 lentelė'!I12:I152)</f>
        <v>506.9</v>
      </c>
      <c r="C19" s="259">
        <f>SUMIF('1 lentelė'!H12:H152,"LRVB",'1 lentelė'!M12:M152)</f>
        <v>633.5</v>
      </c>
      <c r="D19" s="485">
        <f>SUMIF('1 lentelė'!H12:H152,"LRVB",'1 lentelė'!Q12:Q152)</f>
        <v>646.7</v>
      </c>
      <c r="E19" s="259">
        <f>SUMIF('1 lentelė'!H12:H152,"LRVB",'1 lentelė'!U12:U152)</f>
        <v>783.3</v>
      </c>
      <c r="F19" s="259">
        <f>SUMIF('1 lentelė'!H12:H152,"LRVB",'1 lentelė'!V12:V152)</f>
        <v>0</v>
      </c>
    </row>
    <row r="20" spans="1:6" ht="15.75" customHeight="1">
      <c r="A20" s="700" t="s">
        <v>111</v>
      </c>
      <c r="B20" s="259">
        <f>SUMIF('1 lentelė'!H12:H152,"KVJUD",'1 lentelė'!I12:I152)</f>
        <v>0</v>
      </c>
      <c r="C20" s="259">
        <f>SUMIF('1 lentelė'!H12:H152,"KVJUD",'1 lentelė'!M12:M152)</f>
        <v>7000</v>
      </c>
      <c r="D20" s="485">
        <f>SUMIF('1 lentelė'!H12:H152,"KVJUD",'1 lentelė'!Q12:Q152)</f>
        <v>7000</v>
      </c>
      <c r="E20" s="259">
        <f>SUMIF('1 lentelė'!H12:H152,"KVJUD",'1 lentelė'!U12:U152)</f>
        <v>0</v>
      </c>
      <c r="F20" s="259">
        <f>SUMIF('1 lentelė'!H12:H152,"KVJUD",'1 lentelė'!V12:V152)</f>
        <v>0</v>
      </c>
    </row>
    <row r="21" spans="1:6" ht="15.75" customHeight="1" thickBot="1">
      <c r="A21" s="703" t="s">
        <v>189</v>
      </c>
      <c r="B21" s="259">
        <f>SUMIF('1 lentelė'!H12:H152,"Kt",'1 lentelė'!I12:I152)</f>
        <v>200</v>
      </c>
      <c r="C21" s="259">
        <f>SUMIF('1 lentelė'!H12:H152,"Kt",'1 lentelė'!M12:M152)</f>
        <v>3626.5</v>
      </c>
      <c r="D21" s="485">
        <f>SUMIF('1 lentelė'!H12:H152,"Kt",'1 lentelė'!Q12:Q152)</f>
        <v>3626.5</v>
      </c>
      <c r="E21" s="259">
        <f>SUMIF('1 lentelė'!H12:H152,"Kt",'1 lentelė'!U12:U152)</f>
        <v>8242</v>
      </c>
      <c r="F21" s="259">
        <f>SUMIF('1 lentelė'!H12:H152,"Kt",'1 lentelė'!V12:V152)</f>
        <v>7646.4</v>
      </c>
    </row>
    <row r="22" spans="1:6" ht="15.75" customHeight="1">
      <c r="A22" s="695"/>
      <c r="B22" s="695"/>
      <c r="C22" s="695"/>
      <c r="D22" s="695"/>
      <c r="E22" s="695"/>
      <c r="F22" s="695"/>
    </row>
    <row r="23" spans="1:6" ht="15.75" customHeight="1">
      <c r="A23" s="500"/>
      <c r="B23" s="500"/>
      <c r="C23" s="500"/>
      <c r="D23" s="500"/>
      <c r="E23" s="500"/>
      <c r="F23" s="500"/>
    </row>
    <row r="24" ht="12.75">
      <c r="A24" s="21"/>
    </row>
  </sheetData>
  <sheetProtection/>
  <mergeCells count="7">
    <mergeCell ref="A1:F1"/>
    <mergeCell ref="F3:F6"/>
    <mergeCell ref="A3:A6"/>
    <mergeCell ref="B3:B6"/>
    <mergeCell ref="C3:C6"/>
    <mergeCell ref="D3:D6"/>
    <mergeCell ref="E3:E6"/>
  </mergeCells>
  <printOptions/>
  <pageMargins left="0.7874015748031497" right="0.35433070866141736" top="0.7874015748031497" bottom="0.787401574803149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70.7109375" style="0" customWidth="1"/>
    <col min="3" max="3" width="13.8515625" style="350" customWidth="1"/>
    <col min="4" max="7" width="9.7109375" style="0" customWidth="1"/>
  </cols>
  <sheetData>
    <row r="1" spans="1:7" ht="18.75" customHeight="1">
      <c r="A1" s="29"/>
      <c r="B1" s="29" t="s">
        <v>58</v>
      </c>
      <c r="C1" s="30"/>
      <c r="D1" s="30"/>
      <c r="E1" s="30"/>
      <c r="F1" s="31"/>
      <c r="G1" s="32" t="s">
        <v>59</v>
      </c>
    </row>
    <row r="2" spans="1:7" ht="36" customHeight="1">
      <c r="A2" s="33"/>
      <c r="B2" s="34" t="s">
        <v>72</v>
      </c>
      <c r="C2" s="35" t="s">
        <v>60</v>
      </c>
      <c r="D2" s="36" t="s">
        <v>9</v>
      </c>
      <c r="E2" s="37"/>
      <c r="F2" s="37"/>
      <c r="G2" s="37"/>
    </row>
    <row r="3" spans="1:7" ht="15" customHeight="1">
      <c r="A3" s="33"/>
      <c r="B3" s="38" t="s">
        <v>61</v>
      </c>
      <c r="C3" s="39"/>
      <c r="D3" s="40"/>
      <c r="E3" s="37"/>
      <c r="F3" s="37"/>
      <c r="G3" s="37"/>
    </row>
    <row r="4" spans="1:7" ht="25.5" customHeight="1">
      <c r="A4" s="33"/>
      <c r="B4" s="34" t="s">
        <v>73</v>
      </c>
      <c r="C4" s="35" t="s">
        <v>60</v>
      </c>
      <c r="D4" s="36" t="s">
        <v>13</v>
      </c>
      <c r="E4" s="37"/>
      <c r="F4" s="37"/>
      <c r="G4" s="37"/>
    </row>
    <row r="5" spans="1:7" ht="15.75" customHeight="1">
      <c r="A5" s="41"/>
      <c r="B5" s="38" t="s">
        <v>62</v>
      </c>
      <c r="C5" s="42"/>
      <c r="D5" s="43"/>
      <c r="E5" s="44"/>
      <c r="F5" s="45"/>
      <c r="G5" s="45"/>
    </row>
    <row r="6" spans="1:7" ht="15.75" customHeight="1">
      <c r="A6" s="46"/>
      <c r="B6" s="47"/>
      <c r="C6" s="348"/>
      <c r="D6" s="47"/>
      <c r="E6" s="46"/>
      <c r="F6" s="47"/>
      <c r="G6" s="47"/>
    </row>
    <row r="7" spans="1:7" ht="18.75" customHeight="1">
      <c r="A7" s="1054" t="s">
        <v>76</v>
      </c>
      <c r="B7" s="1051" t="s">
        <v>63</v>
      </c>
      <c r="C7" s="1051" t="s">
        <v>64</v>
      </c>
      <c r="D7" s="1051" t="s">
        <v>194</v>
      </c>
      <c r="E7" s="1051" t="s">
        <v>190</v>
      </c>
      <c r="F7" s="1051" t="s">
        <v>132</v>
      </c>
      <c r="G7" s="1051" t="s">
        <v>191</v>
      </c>
    </row>
    <row r="8" spans="1:7" ht="42.75" customHeight="1">
      <c r="A8" s="1055"/>
      <c r="B8" s="1051"/>
      <c r="C8" s="1052" t="s">
        <v>47</v>
      </c>
      <c r="D8" s="1052" t="s">
        <v>65</v>
      </c>
      <c r="E8" s="1052"/>
      <c r="F8" s="1053"/>
      <c r="G8" s="1053"/>
    </row>
    <row r="9" spans="1:7" ht="12.75">
      <c r="A9" s="70" t="s">
        <v>84</v>
      </c>
      <c r="B9" s="48" t="s">
        <v>66</v>
      </c>
      <c r="C9" s="49"/>
      <c r="D9" s="49"/>
      <c r="E9" s="49"/>
      <c r="F9" s="49"/>
      <c r="G9" s="49"/>
    </row>
    <row r="10" spans="1:7" ht="16.5" customHeight="1">
      <c r="A10" s="50"/>
      <c r="B10" s="51" t="s">
        <v>67</v>
      </c>
      <c r="C10" s="52"/>
      <c r="D10" s="52"/>
      <c r="E10" s="52"/>
      <c r="F10" s="52"/>
      <c r="G10" s="52"/>
    </row>
    <row r="11" spans="1:10" ht="17.25" customHeight="1">
      <c r="A11" s="50"/>
      <c r="B11" s="59" t="s">
        <v>121</v>
      </c>
      <c r="C11" s="52" t="s">
        <v>74</v>
      </c>
      <c r="D11" s="52">
        <v>81.4</v>
      </c>
      <c r="E11" s="52">
        <v>82</v>
      </c>
      <c r="F11" s="52">
        <v>83</v>
      </c>
      <c r="G11" s="52">
        <v>84</v>
      </c>
      <c r="I11" s="62"/>
      <c r="J11" s="27"/>
    </row>
    <row r="12" spans="1:10" ht="16.5" customHeight="1">
      <c r="A12" s="53"/>
      <c r="B12" s="61" t="s">
        <v>102</v>
      </c>
      <c r="C12" s="52" t="s">
        <v>75</v>
      </c>
      <c r="D12" s="52">
        <v>3.3</v>
      </c>
      <c r="E12" s="52">
        <v>3.4</v>
      </c>
      <c r="F12" s="52">
        <v>3.5</v>
      </c>
      <c r="G12" s="52">
        <v>3.6</v>
      </c>
      <c r="I12" s="62"/>
      <c r="J12" s="27"/>
    </row>
    <row r="13" spans="1:11" ht="15.75" customHeight="1">
      <c r="A13" s="53"/>
      <c r="B13" s="355" t="s">
        <v>195</v>
      </c>
      <c r="C13" s="351" t="s">
        <v>85</v>
      </c>
      <c r="D13" s="352">
        <v>18</v>
      </c>
      <c r="E13" s="352">
        <v>20</v>
      </c>
      <c r="F13" s="352">
        <v>22</v>
      </c>
      <c r="G13" s="352">
        <v>22</v>
      </c>
      <c r="I13" s="69"/>
      <c r="J13" s="69"/>
      <c r="K13" s="69"/>
    </row>
    <row r="14" spans="1:11" ht="16.5" customHeight="1">
      <c r="A14" s="53"/>
      <c r="B14" s="355" t="s">
        <v>224</v>
      </c>
      <c r="C14" s="353" t="s">
        <v>101</v>
      </c>
      <c r="D14" s="354">
        <v>87</v>
      </c>
      <c r="E14" s="354">
        <v>87</v>
      </c>
      <c r="F14" s="354">
        <v>117</v>
      </c>
      <c r="G14" s="354">
        <v>137</v>
      </c>
      <c r="I14" s="69"/>
      <c r="J14" s="69"/>
      <c r="K14" s="69"/>
    </row>
    <row r="15" spans="1:11" ht="12.75">
      <c r="A15" s="50"/>
      <c r="B15" s="48" t="s">
        <v>68</v>
      </c>
      <c r="C15" s="49"/>
      <c r="D15" s="52"/>
      <c r="E15" s="52"/>
      <c r="F15" s="52"/>
      <c r="G15" s="52"/>
      <c r="I15" s="62"/>
      <c r="J15" s="63"/>
      <c r="K15" s="64"/>
    </row>
    <row r="16" spans="1:10" ht="12.75">
      <c r="A16" s="50"/>
      <c r="B16" s="51" t="s">
        <v>67</v>
      </c>
      <c r="C16" s="52"/>
      <c r="D16" s="52"/>
      <c r="E16" s="52"/>
      <c r="F16" s="52"/>
      <c r="G16" s="52"/>
      <c r="I16" s="62"/>
      <c r="J16" s="27"/>
    </row>
    <row r="17" spans="1:7" ht="12.75">
      <c r="A17" s="50"/>
      <c r="B17" s="56" t="s">
        <v>69</v>
      </c>
      <c r="C17" s="52"/>
      <c r="D17" s="80"/>
      <c r="E17" s="52"/>
      <c r="F17" s="52"/>
      <c r="G17" s="52"/>
    </row>
    <row r="18" spans="1:7" ht="12.75">
      <c r="A18" s="50"/>
      <c r="B18" s="59" t="s">
        <v>105</v>
      </c>
      <c r="C18" s="60" t="s">
        <v>78</v>
      </c>
      <c r="D18" s="104">
        <v>354.8</v>
      </c>
      <c r="E18" s="98">
        <v>1713</v>
      </c>
      <c r="F18" s="60">
        <v>7.33</v>
      </c>
      <c r="G18" s="60">
        <v>0</v>
      </c>
    </row>
    <row r="19" spans="1:7" ht="16.5" customHeight="1">
      <c r="A19" s="53"/>
      <c r="B19" s="741" t="s">
        <v>106</v>
      </c>
      <c r="C19" s="60" t="s">
        <v>86</v>
      </c>
      <c r="D19" s="105">
        <v>3104</v>
      </c>
      <c r="E19" s="98">
        <v>1251</v>
      </c>
      <c r="F19" s="60">
        <v>7937.33</v>
      </c>
      <c r="G19" s="742">
        <f>9421-500</f>
        <v>8921</v>
      </c>
    </row>
    <row r="20" spans="1:7" ht="16.5" customHeight="1">
      <c r="A20" s="53"/>
      <c r="B20" s="61" t="s">
        <v>107</v>
      </c>
      <c r="C20" s="60" t="s">
        <v>87</v>
      </c>
      <c r="D20" s="105"/>
      <c r="E20" s="98">
        <v>1</v>
      </c>
      <c r="F20" s="60">
        <v>1</v>
      </c>
      <c r="G20" s="60">
        <v>0</v>
      </c>
    </row>
    <row r="21" spans="1:7" ht="15" customHeight="1">
      <c r="A21" s="53"/>
      <c r="B21" s="56" t="s">
        <v>70</v>
      </c>
      <c r="C21" s="52"/>
      <c r="D21" s="80"/>
      <c r="E21" s="52"/>
      <c r="F21" s="52"/>
      <c r="G21" s="52"/>
    </row>
    <row r="22" spans="1:7" ht="15" customHeight="1">
      <c r="A22" s="53"/>
      <c r="B22" s="57" t="s">
        <v>88</v>
      </c>
      <c r="C22" s="52" t="s">
        <v>79</v>
      </c>
      <c r="D22" s="52">
        <v>1317</v>
      </c>
      <c r="E22" s="52">
        <v>768</v>
      </c>
      <c r="F22" s="52">
        <v>1007.5</v>
      </c>
      <c r="G22" s="52">
        <v>1773.5</v>
      </c>
    </row>
    <row r="23" spans="1:7" ht="15.75" customHeight="1">
      <c r="A23" s="55"/>
      <c r="B23" s="56" t="s">
        <v>122</v>
      </c>
      <c r="C23" s="52"/>
      <c r="D23" s="52"/>
      <c r="E23" s="52"/>
      <c r="F23" s="52"/>
      <c r="G23" s="52"/>
    </row>
    <row r="24" spans="1:7" ht="15.75" customHeight="1">
      <c r="A24" s="55"/>
      <c r="B24" s="54" t="s">
        <v>199</v>
      </c>
      <c r="C24" s="52" t="s">
        <v>80</v>
      </c>
      <c r="D24" s="52">
        <v>150</v>
      </c>
      <c r="E24" s="52">
        <v>150</v>
      </c>
      <c r="F24" s="52">
        <v>150</v>
      </c>
      <c r="G24" s="52">
        <v>150</v>
      </c>
    </row>
    <row r="25" spans="1:7" ht="15.75" customHeight="1">
      <c r="A25" s="55"/>
      <c r="B25" s="57" t="s">
        <v>196</v>
      </c>
      <c r="C25" s="52" t="s">
        <v>108</v>
      </c>
      <c r="D25" s="52"/>
      <c r="E25" s="52">
        <v>130</v>
      </c>
      <c r="F25" s="52"/>
      <c r="G25" s="52"/>
    </row>
    <row r="26" spans="1:7" ht="15.75" customHeight="1">
      <c r="A26" s="55"/>
      <c r="B26" s="79" t="s">
        <v>112</v>
      </c>
      <c r="C26" s="52" t="s">
        <v>128</v>
      </c>
      <c r="D26" s="60">
        <v>691</v>
      </c>
      <c r="E26" s="60">
        <v>520</v>
      </c>
      <c r="F26" s="60">
        <v>520</v>
      </c>
      <c r="G26" s="60">
        <v>520</v>
      </c>
    </row>
    <row r="27" spans="1:7" ht="15" customHeight="1">
      <c r="A27" s="72"/>
      <c r="B27" s="106" t="s">
        <v>143</v>
      </c>
      <c r="C27" s="52" t="s">
        <v>81</v>
      </c>
      <c r="D27" s="99"/>
      <c r="E27" s="100">
        <v>1</v>
      </c>
      <c r="F27" s="101">
        <v>1</v>
      </c>
      <c r="G27" s="102">
        <v>1</v>
      </c>
    </row>
    <row r="28" spans="1:7" ht="15" customHeight="1">
      <c r="A28" s="72"/>
      <c r="B28" s="107" t="s">
        <v>113</v>
      </c>
      <c r="C28" s="52" t="s">
        <v>82</v>
      </c>
      <c r="D28" s="103">
        <v>5000</v>
      </c>
      <c r="E28" s="91">
        <v>4700</v>
      </c>
      <c r="F28" s="91">
        <v>4700</v>
      </c>
      <c r="G28" s="91">
        <v>4700</v>
      </c>
    </row>
    <row r="29" spans="1:7" ht="15" customHeight="1">
      <c r="A29" s="72"/>
      <c r="B29" s="108" t="s">
        <v>114</v>
      </c>
      <c r="C29" s="52" t="s">
        <v>109</v>
      </c>
      <c r="D29" s="82">
        <v>1</v>
      </c>
      <c r="E29" s="74">
        <v>3</v>
      </c>
      <c r="F29" s="74">
        <v>3</v>
      </c>
      <c r="G29" s="74">
        <v>3</v>
      </c>
    </row>
    <row r="30" spans="1:13" ht="15.75" customHeight="1">
      <c r="A30" s="55"/>
      <c r="B30" s="347" t="s">
        <v>71</v>
      </c>
      <c r="C30" s="52"/>
      <c r="D30" s="52"/>
      <c r="E30" s="52"/>
      <c r="F30" s="52"/>
      <c r="G30" s="52"/>
      <c r="I30" s="75"/>
      <c r="J30" s="75"/>
      <c r="K30" s="75"/>
      <c r="L30" s="75"/>
      <c r="M30" s="27"/>
    </row>
    <row r="31" spans="1:8" ht="15.75" customHeight="1">
      <c r="A31" s="55"/>
      <c r="B31" s="57" t="s">
        <v>117</v>
      </c>
      <c r="C31" s="52" t="s">
        <v>77</v>
      </c>
      <c r="D31" s="287">
        <v>9.7</v>
      </c>
      <c r="E31" s="287">
        <v>11</v>
      </c>
      <c r="F31" s="287">
        <v>14</v>
      </c>
      <c r="G31" s="287">
        <v>14</v>
      </c>
      <c r="H31" s="27"/>
    </row>
    <row r="32" spans="1:7" ht="15.75" customHeight="1">
      <c r="A32" s="55"/>
      <c r="B32" s="57" t="s">
        <v>118</v>
      </c>
      <c r="C32" s="52" t="s">
        <v>83</v>
      </c>
      <c r="D32" s="52">
        <v>24.5</v>
      </c>
      <c r="E32" s="52">
        <v>11</v>
      </c>
      <c r="F32" s="52">
        <v>15</v>
      </c>
      <c r="G32" s="52">
        <v>15</v>
      </c>
    </row>
    <row r="33" spans="1:7" ht="15.75" customHeight="1">
      <c r="A33" s="55"/>
      <c r="B33" s="800" t="s">
        <v>198</v>
      </c>
      <c r="C33" s="52" t="s">
        <v>89</v>
      </c>
      <c r="D33" s="52">
        <v>2.6</v>
      </c>
      <c r="E33" s="799">
        <f>2+2.1</f>
        <v>4.1</v>
      </c>
      <c r="F33" s="52">
        <v>2</v>
      </c>
      <c r="G33" s="52">
        <v>2</v>
      </c>
    </row>
    <row r="34" spans="1:7" ht="15.75" customHeight="1">
      <c r="A34" s="55"/>
      <c r="B34" s="57" t="s">
        <v>119</v>
      </c>
      <c r="C34" s="52" t="s">
        <v>90</v>
      </c>
      <c r="D34" s="52">
        <v>0.19</v>
      </c>
      <c r="E34" s="52">
        <v>0.13</v>
      </c>
      <c r="F34" s="52">
        <v>0.16</v>
      </c>
      <c r="G34" s="52">
        <v>0.16</v>
      </c>
    </row>
    <row r="35" spans="1:7" ht="15.75" customHeight="1">
      <c r="A35" s="55"/>
      <c r="B35" s="57" t="s">
        <v>200</v>
      </c>
      <c r="C35" s="52" t="s">
        <v>91</v>
      </c>
      <c r="D35" s="52">
        <v>872</v>
      </c>
      <c r="E35" s="52">
        <v>872</v>
      </c>
      <c r="F35" s="52">
        <v>872</v>
      </c>
      <c r="G35" s="52">
        <v>872</v>
      </c>
    </row>
    <row r="36" spans="1:7" ht="15.75" customHeight="1">
      <c r="A36" s="55"/>
      <c r="B36" s="57" t="s">
        <v>96</v>
      </c>
      <c r="C36" s="52" t="s">
        <v>92</v>
      </c>
      <c r="D36" s="52">
        <v>3.7</v>
      </c>
      <c r="E36" s="52">
        <v>3.8</v>
      </c>
      <c r="F36" s="52">
        <v>5.5</v>
      </c>
      <c r="G36" s="52">
        <v>5.5</v>
      </c>
    </row>
    <row r="37" spans="1:7" ht="15.75" customHeight="1">
      <c r="A37" s="55"/>
      <c r="B37" s="57" t="s">
        <v>123</v>
      </c>
      <c r="C37" s="52" t="s">
        <v>93</v>
      </c>
      <c r="D37" s="52"/>
      <c r="E37" s="52">
        <v>20</v>
      </c>
      <c r="F37" s="52">
        <v>20</v>
      </c>
      <c r="G37" s="52">
        <v>20</v>
      </c>
    </row>
    <row r="38" spans="1:7" ht="15.75" customHeight="1">
      <c r="A38" s="55"/>
      <c r="B38" s="57" t="s">
        <v>120</v>
      </c>
      <c r="C38" s="52" t="s">
        <v>94</v>
      </c>
      <c r="D38" s="52">
        <v>7.5</v>
      </c>
      <c r="E38" s="52">
        <v>6.9</v>
      </c>
      <c r="F38" s="52">
        <v>6.9</v>
      </c>
      <c r="G38" s="52">
        <v>6.9</v>
      </c>
    </row>
    <row r="39" spans="1:7" ht="15.75" customHeight="1">
      <c r="A39" s="55"/>
      <c r="B39" s="57" t="s">
        <v>97</v>
      </c>
      <c r="C39" s="52" t="s">
        <v>95</v>
      </c>
      <c r="D39" s="52">
        <v>88</v>
      </c>
      <c r="E39" s="52">
        <v>0</v>
      </c>
      <c r="F39" s="52">
        <v>0</v>
      </c>
      <c r="G39" s="52">
        <v>0</v>
      </c>
    </row>
    <row r="40" spans="1:7" ht="15.75" customHeight="1">
      <c r="A40" s="55"/>
      <c r="B40" s="57" t="s">
        <v>98</v>
      </c>
      <c r="C40" s="52" t="s">
        <v>100</v>
      </c>
      <c r="D40" s="52"/>
      <c r="E40" s="52"/>
      <c r="F40" s="52">
        <v>0</v>
      </c>
      <c r="G40" s="52">
        <v>0</v>
      </c>
    </row>
    <row r="41" spans="1:7" ht="15.75" customHeight="1">
      <c r="A41" s="55"/>
      <c r="B41" s="57" t="s">
        <v>99</v>
      </c>
      <c r="C41" s="52" t="s">
        <v>124</v>
      </c>
      <c r="D41" s="52"/>
      <c r="E41" s="52">
        <v>0</v>
      </c>
      <c r="F41" s="52">
        <v>0</v>
      </c>
      <c r="G41" s="52">
        <v>0</v>
      </c>
    </row>
    <row r="42" spans="1:7" ht="15.75" customHeight="1">
      <c r="A42" s="71"/>
      <c r="B42" s="81" t="s">
        <v>197</v>
      </c>
      <c r="C42" s="73" t="s">
        <v>127</v>
      </c>
      <c r="D42" s="76">
        <v>18</v>
      </c>
      <c r="E42" s="73">
        <v>18</v>
      </c>
      <c r="F42" s="73">
        <v>18</v>
      </c>
      <c r="G42" s="73">
        <v>18</v>
      </c>
    </row>
    <row r="43" spans="1:7" ht="12.75">
      <c r="A43" s="58"/>
      <c r="B43" s="65"/>
      <c r="C43" s="349"/>
      <c r="D43" s="66"/>
      <c r="E43" s="67"/>
      <c r="F43" s="68"/>
      <c r="G43" s="68"/>
    </row>
  </sheetData>
  <sheetProtection/>
  <mergeCells count="7">
    <mergeCell ref="E7:E8"/>
    <mergeCell ref="F7:F8"/>
    <mergeCell ref="G7:G8"/>
    <mergeCell ref="A7:A8"/>
    <mergeCell ref="B7:B8"/>
    <mergeCell ref="C7:C8"/>
    <mergeCell ref="D7:D8"/>
  </mergeCells>
  <printOptions/>
  <pageMargins left="0.5511811023622047" right="0.5511811023622047" top="0.3937007874015748" bottom="0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3"/>
  <sheetViews>
    <sheetView zoomScaleSheetLayoutView="95" zoomScalePageLayoutView="0" workbookViewId="0" topLeftCell="A1">
      <selection activeCell="A1" sqref="A1:V1"/>
    </sheetView>
  </sheetViews>
  <sheetFormatPr defaultColWidth="9.140625" defaultRowHeight="12.75"/>
  <cols>
    <col min="1" max="3" width="2.7109375" style="18" customWidth="1"/>
    <col min="4" max="4" width="40.8515625" style="18" customWidth="1"/>
    <col min="5" max="5" width="5.140625" style="18" hidden="1" customWidth="1"/>
    <col min="6" max="7" width="2.7109375" style="18" customWidth="1"/>
    <col min="8" max="8" width="7.7109375" style="18" customWidth="1"/>
    <col min="9" max="12" width="7.28125" style="18" hidden="1" customWidth="1"/>
    <col min="13" max="22" width="7.7109375" style="18" customWidth="1"/>
    <col min="23" max="16384" width="9.140625" style="18" customWidth="1"/>
  </cols>
  <sheetData>
    <row r="1" spans="1:22" ht="26.25" customHeight="1">
      <c r="A1" s="1056" t="s">
        <v>228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</row>
    <row r="2" spans="1:22" ht="15" customHeight="1">
      <c r="A2" s="1056" t="s">
        <v>229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  <c r="T2" s="1056"/>
      <c r="U2" s="1056"/>
      <c r="V2" s="1056"/>
    </row>
    <row r="3" spans="1:22" ht="15" customHeight="1" thickBot="1">
      <c r="A3" s="308"/>
      <c r="B3" s="308"/>
      <c r="C3" s="308"/>
      <c r="D3" s="705"/>
      <c r="E3" s="498"/>
      <c r="F3" s="499"/>
      <c r="G3" s="308"/>
      <c r="H3" s="308"/>
      <c r="I3" s="500"/>
      <c r="J3" s="500"/>
      <c r="K3" s="500"/>
      <c r="L3" s="500"/>
      <c r="M3" s="308"/>
      <c r="N3" s="308"/>
      <c r="O3" s="308"/>
      <c r="P3" s="308"/>
      <c r="Q3" s="308"/>
      <c r="R3" s="308"/>
      <c r="S3" s="308"/>
      <c r="T3" s="308"/>
      <c r="U3" s="308"/>
      <c r="V3" s="308"/>
    </row>
    <row r="4" spans="1:22" s="501" customFormat="1" ht="36.75" customHeight="1">
      <c r="A4" s="1057" t="s">
        <v>0</v>
      </c>
      <c r="B4" s="1060" t="s">
        <v>1</v>
      </c>
      <c r="C4" s="1060" t="s">
        <v>2</v>
      </c>
      <c r="D4" s="1063" t="s">
        <v>47</v>
      </c>
      <c r="E4" s="1066" t="s">
        <v>3</v>
      </c>
      <c r="F4" s="1060" t="s">
        <v>282</v>
      </c>
      <c r="G4" s="1069" t="s">
        <v>4</v>
      </c>
      <c r="H4" s="1072" t="s">
        <v>5</v>
      </c>
      <c r="I4" s="1075" t="s">
        <v>148</v>
      </c>
      <c r="J4" s="1076"/>
      <c r="K4" s="1076"/>
      <c r="L4" s="1077"/>
      <c r="M4" s="1075" t="s">
        <v>230</v>
      </c>
      <c r="N4" s="1076"/>
      <c r="O4" s="1076"/>
      <c r="P4" s="1077"/>
      <c r="Q4" s="1078" t="s">
        <v>155</v>
      </c>
      <c r="R4" s="1076"/>
      <c r="S4" s="1076"/>
      <c r="T4" s="1079"/>
      <c r="U4" s="1080" t="s">
        <v>231</v>
      </c>
      <c r="V4" s="1080" t="s">
        <v>232</v>
      </c>
    </row>
    <row r="5" spans="1:22" s="501" customFormat="1" ht="15" customHeight="1">
      <c r="A5" s="1058"/>
      <c r="B5" s="1061"/>
      <c r="C5" s="1061"/>
      <c r="D5" s="1064"/>
      <c r="E5" s="1067"/>
      <c r="F5" s="1061"/>
      <c r="G5" s="1070"/>
      <c r="H5" s="1073"/>
      <c r="I5" s="1083" t="s">
        <v>6</v>
      </c>
      <c r="J5" s="1085" t="s">
        <v>7</v>
      </c>
      <c r="K5" s="1085"/>
      <c r="L5" s="1086" t="s">
        <v>125</v>
      </c>
      <c r="M5" s="1083" t="s">
        <v>6</v>
      </c>
      <c r="N5" s="1085" t="s">
        <v>7</v>
      </c>
      <c r="O5" s="1085"/>
      <c r="P5" s="1086" t="s">
        <v>125</v>
      </c>
      <c r="Q5" s="1088" t="s">
        <v>6</v>
      </c>
      <c r="R5" s="1085" t="s">
        <v>7</v>
      </c>
      <c r="S5" s="1085"/>
      <c r="T5" s="1090" t="s">
        <v>125</v>
      </c>
      <c r="U5" s="1081"/>
      <c r="V5" s="1081"/>
    </row>
    <row r="6" spans="1:22" s="501" customFormat="1" ht="88.5" customHeight="1" thickBot="1">
      <c r="A6" s="1059"/>
      <c r="B6" s="1062"/>
      <c r="C6" s="1062"/>
      <c r="D6" s="1065"/>
      <c r="E6" s="1068"/>
      <c r="F6" s="1062"/>
      <c r="G6" s="1071"/>
      <c r="H6" s="1074"/>
      <c r="I6" s="1084"/>
      <c r="J6" s="502" t="s">
        <v>6</v>
      </c>
      <c r="K6" s="503" t="s">
        <v>126</v>
      </c>
      <c r="L6" s="1087"/>
      <c r="M6" s="1084"/>
      <c r="N6" s="502" t="s">
        <v>6</v>
      </c>
      <c r="O6" s="503" t="s">
        <v>126</v>
      </c>
      <c r="P6" s="1087"/>
      <c r="Q6" s="1089"/>
      <c r="R6" s="502" t="s">
        <v>6</v>
      </c>
      <c r="S6" s="503" t="s">
        <v>126</v>
      </c>
      <c r="T6" s="1091"/>
      <c r="U6" s="1082"/>
      <c r="V6" s="1082"/>
    </row>
    <row r="7" spans="1:22" ht="15" customHeight="1">
      <c r="A7" s="1092" t="s">
        <v>115</v>
      </c>
      <c r="B7" s="1093"/>
      <c r="C7" s="1093"/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093"/>
      <c r="R7" s="1093"/>
      <c r="S7" s="1093"/>
      <c r="T7" s="1093"/>
      <c r="U7" s="1093"/>
      <c r="V7" s="1094"/>
    </row>
    <row r="8" spans="1:22" ht="15" customHeight="1">
      <c r="A8" s="1095" t="s">
        <v>31</v>
      </c>
      <c r="B8" s="1096"/>
      <c r="C8" s="1096"/>
      <c r="D8" s="1096"/>
      <c r="E8" s="1096"/>
      <c r="F8" s="1096"/>
      <c r="G8" s="1096"/>
      <c r="H8" s="1096"/>
      <c r="I8" s="1096"/>
      <c r="J8" s="1096"/>
      <c r="K8" s="1096"/>
      <c r="L8" s="1096"/>
      <c r="M8" s="1096"/>
      <c r="N8" s="1096"/>
      <c r="O8" s="1096"/>
      <c r="P8" s="1096"/>
      <c r="Q8" s="1096"/>
      <c r="R8" s="1096"/>
      <c r="S8" s="1096"/>
      <c r="T8" s="1096"/>
      <c r="U8" s="1096"/>
      <c r="V8" s="1097"/>
    </row>
    <row r="9" spans="1:22" ht="15" customHeight="1">
      <c r="A9" s="504" t="s">
        <v>8</v>
      </c>
      <c r="B9" s="1123" t="s">
        <v>37</v>
      </c>
      <c r="C9" s="1124"/>
      <c r="D9" s="1124"/>
      <c r="E9" s="1124"/>
      <c r="F9" s="1124"/>
      <c r="G9" s="1124"/>
      <c r="H9" s="1124"/>
      <c r="I9" s="1124"/>
      <c r="J9" s="1124"/>
      <c r="K9" s="1124"/>
      <c r="L9" s="1124"/>
      <c r="M9" s="1124"/>
      <c r="N9" s="1124"/>
      <c r="O9" s="1124"/>
      <c r="P9" s="1124"/>
      <c r="Q9" s="1124"/>
      <c r="R9" s="1124"/>
      <c r="S9" s="1124"/>
      <c r="T9" s="1124"/>
      <c r="U9" s="1124"/>
      <c r="V9" s="1125"/>
    </row>
    <row r="10" spans="1:22" ht="15" customHeight="1" thickBot="1">
      <c r="A10" s="505" t="s">
        <v>8</v>
      </c>
      <c r="B10" s="506" t="s">
        <v>8</v>
      </c>
      <c r="C10" s="1126" t="s">
        <v>48</v>
      </c>
      <c r="D10" s="1127"/>
      <c r="E10" s="1127"/>
      <c r="F10" s="1127"/>
      <c r="G10" s="1127"/>
      <c r="H10" s="1127"/>
      <c r="I10" s="1127"/>
      <c r="J10" s="1127"/>
      <c r="K10" s="1127"/>
      <c r="L10" s="1127"/>
      <c r="M10" s="1127"/>
      <c r="N10" s="1127"/>
      <c r="O10" s="1127"/>
      <c r="P10" s="1127"/>
      <c r="Q10" s="1127"/>
      <c r="R10" s="1127"/>
      <c r="S10" s="1127"/>
      <c r="T10" s="1127"/>
      <c r="U10" s="1127"/>
      <c r="V10" s="1128"/>
    </row>
    <row r="11" spans="1:22" ht="15" customHeight="1" thickBot="1">
      <c r="A11" s="1098" t="s">
        <v>8</v>
      </c>
      <c r="B11" s="1099" t="s">
        <v>8</v>
      </c>
      <c r="C11" s="1100" t="s">
        <v>8</v>
      </c>
      <c r="D11" s="1101" t="s">
        <v>233</v>
      </c>
      <c r="E11" s="509" t="s">
        <v>22</v>
      </c>
      <c r="F11" s="1102" t="s">
        <v>12</v>
      </c>
      <c r="G11" s="1103" t="s">
        <v>144</v>
      </c>
      <c r="H11" s="510" t="s">
        <v>11</v>
      </c>
      <c r="I11" s="178">
        <f>J11+L11</f>
        <v>4.3</v>
      </c>
      <c r="J11" s="179"/>
      <c r="K11" s="179"/>
      <c r="L11" s="306">
        <v>4.3</v>
      </c>
      <c r="M11" s="178">
        <f>N11+P11</f>
        <v>0</v>
      </c>
      <c r="N11" s="162"/>
      <c r="O11" s="162"/>
      <c r="P11" s="163"/>
      <c r="Q11" s="380">
        <f>R11+T11</f>
        <v>0</v>
      </c>
      <c r="R11" s="375"/>
      <c r="S11" s="375"/>
      <c r="T11" s="376"/>
      <c r="U11" s="183"/>
      <c r="V11" s="183"/>
    </row>
    <row r="12" spans="1:22" ht="15" customHeight="1" thickBot="1">
      <c r="A12" s="1098"/>
      <c r="B12" s="1099"/>
      <c r="C12" s="1100"/>
      <c r="D12" s="1101"/>
      <c r="E12" s="511"/>
      <c r="F12" s="1102"/>
      <c r="G12" s="1103"/>
      <c r="H12" s="510" t="s">
        <v>234</v>
      </c>
      <c r="I12" s="178"/>
      <c r="J12" s="179"/>
      <c r="K12" s="179"/>
      <c r="L12" s="306"/>
      <c r="M12" s="178">
        <f>N12+P12</f>
        <v>513.5</v>
      </c>
      <c r="N12" s="179"/>
      <c r="O12" s="179"/>
      <c r="P12" s="180">
        <v>513.5</v>
      </c>
      <c r="Q12" s="380">
        <f>R12+T12</f>
        <v>513.5</v>
      </c>
      <c r="R12" s="378"/>
      <c r="S12" s="378"/>
      <c r="T12" s="379">
        <v>513.5</v>
      </c>
      <c r="U12" s="183">
        <v>513.5</v>
      </c>
      <c r="V12" s="183"/>
    </row>
    <row r="13" spans="1:22" ht="15" customHeight="1" thickBot="1">
      <c r="A13" s="1098"/>
      <c r="B13" s="1099"/>
      <c r="C13" s="1100"/>
      <c r="D13" s="1101"/>
      <c r="E13" s="1104" t="s">
        <v>138</v>
      </c>
      <c r="F13" s="1102"/>
      <c r="G13" s="1103"/>
      <c r="H13" s="510" t="s">
        <v>18</v>
      </c>
      <c r="I13" s="178">
        <f>J13+L13</f>
        <v>1381.1</v>
      </c>
      <c r="J13" s="179"/>
      <c r="K13" s="179"/>
      <c r="L13" s="306">
        <v>1381.1</v>
      </c>
      <c r="M13" s="178">
        <f>N13+P13</f>
        <v>1385.4</v>
      </c>
      <c r="N13" s="179"/>
      <c r="O13" s="179"/>
      <c r="P13" s="180">
        <v>1385.4</v>
      </c>
      <c r="Q13" s="380">
        <f>R13+T13</f>
        <v>1385.4</v>
      </c>
      <c r="R13" s="378"/>
      <c r="S13" s="378"/>
      <c r="T13" s="379">
        <v>1385.4</v>
      </c>
      <c r="U13" s="183">
        <v>1385.4</v>
      </c>
      <c r="V13" s="183"/>
    </row>
    <row r="14" spans="1:22" ht="15" customHeight="1" thickBot="1">
      <c r="A14" s="1098"/>
      <c r="B14" s="1099"/>
      <c r="C14" s="1100"/>
      <c r="D14" s="1101"/>
      <c r="E14" s="1105"/>
      <c r="F14" s="1102"/>
      <c r="G14" s="1103"/>
      <c r="H14" s="512" t="s">
        <v>110</v>
      </c>
      <c r="I14" s="170">
        <f>J14+L14</f>
        <v>0</v>
      </c>
      <c r="J14" s="196"/>
      <c r="K14" s="196"/>
      <c r="L14" s="262"/>
      <c r="M14" s="170">
        <f>N14+P14</f>
        <v>171.1</v>
      </c>
      <c r="N14" s="196"/>
      <c r="O14" s="196"/>
      <c r="P14" s="197">
        <v>171.1</v>
      </c>
      <c r="Q14" s="377">
        <f>R14+T14</f>
        <v>171.1</v>
      </c>
      <c r="R14" s="392"/>
      <c r="S14" s="392"/>
      <c r="T14" s="393">
        <v>171.1</v>
      </c>
      <c r="U14" s="198">
        <v>171.1</v>
      </c>
      <c r="V14" s="198"/>
    </row>
    <row r="15" spans="1:22" ht="15" customHeight="1" thickBot="1">
      <c r="A15" s="1098"/>
      <c r="B15" s="1099"/>
      <c r="C15" s="1100"/>
      <c r="D15" s="1101"/>
      <c r="E15" s="1106"/>
      <c r="F15" s="1102"/>
      <c r="G15" s="1103"/>
      <c r="H15" s="698" t="s">
        <v>20</v>
      </c>
      <c r="I15" s="367">
        <f aca="true" t="shared" si="0" ref="I15:V15">SUM(I11:I14)</f>
        <v>1385.3999999999999</v>
      </c>
      <c r="J15" s="448">
        <f t="shared" si="0"/>
        <v>0</v>
      </c>
      <c r="K15" s="448">
        <f t="shared" si="0"/>
        <v>0</v>
      </c>
      <c r="L15" s="448">
        <f t="shared" si="0"/>
        <v>1385.3999999999999</v>
      </c>
      <c r="M15" s="367">
        <f t="shared" si="0"/>
        <v>2070</v>
      </c>
      <c r="N15" s="448">
        <f t="shared" si="0"/>
        <v>0</v>
      </c>
      <c r="O15" s="448">
        <f t="shared" si="0"/>
        <v>0</v>
      </c>
      <c r="P15" s="448">
        <f t="shared" si="0"/>
        <v>2070</v>
      </c>
      <c r="Q15" s="367">
        <f t="shared" si="0"/>
        <v>2070</v>
      </c>
      <c r="R15" s="448">
        <f t="shared" si="0"/>
        <v>0</v>
      </c>
      <c r="S15" s="448">
        <f t="shared" si="0"/>
        <v>0</v>
      </c>
      <c r="T15" s="448">
        <f t="shared" si="0"/>
        <v>2070</v>
      </c>
      <c r="U15" s="372">
        <f t="shared" si="0"/>
        <v>2070</v>
      </c>
      <c r="V15" s="372">
        <f t="shared" si="0"/>
        <v>0</v>
      </c>
    </row>
    <row r="16" spans="1:22" ht="15" customHeight="1">
      <c r="A16" s="1133" t="s">
        <v>8</v>
      </c>
      <c r="B16" s="1107" t="s">
        <v>8</v>
      </c>
      <c r="C16" s="1110" t="s">
        <v>8</v>
      </c>
      <c r="D16" s="1113" t="s">
        <v>235</v>
      </c>
      <c r="E16" s="1116" t="s">
        <v>22</v>
      </c>
      <c r="F16" s="1119" t="s">
        <v>12</v>
      </c>
      <c r="G16" s="1129" t="s">
        <v>144</v>
      </c>
      <c r="H16" s="515" t="s">
        <v>18</v>
      </c>
      <c r="I16" s="170">
        <f>J16+L16</f>
        <v>0</v>
      </c>
      <c r="J16" s="196"/>
      <c r="K16" s="196"/>
      <c r="L16" s="197"/>
      <c r="M16" s="170">
        <f>N16+P16</f>
        <v>0</v>
      </c>
      <c r="N16" s="193"/>
      <c r="O16" s="193"/>
      <c r="P16" s="194"/>
      <c r="Q16" s="377">
        <f>R16+T16</f>
        <v>0</v>
      </c>
      <c r="R16" s="392"/>
      <c r="S16" s="392"/>
      <c r="T16" s="393"/>
      <c r="U16" s="717">
        <f>643-643</f>
        <v>0</v>
      </c>
      <c r="V16" s="717">
        <f>643-643</f>
        <v>0</v>
      </c>
    </row>
    <row r="17" spans="1:22" ht="15" customHeight="1">
      <c r="A17" s="1134"/>
      <c r="B17" s="1108"/>
      <c r="C17" s="1111"/>
      <c r="D17" s="1114"/>
      <c r="E17" s="1117"/>
      <c r="F17" s="1120"/>
      <c r="G17" s="1130"/>
      <c r="H17" s="515" t="s">
        <v>110</v>
      </c>
      <c r="I17" s="170">
        <f>J17+L17</f>
        <v>0</v>
      </c>
      <c r="J17" s="196"/>
      <c r="K17" s="196"/>
      <c r="L17" s="197"/>
      <c r="M17" s="170">
        <f>N17+P17</f>
        <v>0</v>
      </c>
      <c r="N17" s="193"/>
      <c r="O17" s="193"/>
      <c r="P17" s="194"/>
      <c r="Q17" s="377">
        <f>R17+T17</f>
        <v>0</v>
      </c>
      <c r="R17" s="392"/>
      <c r="S17" s="392"/>
      <c r="T17" s="393"/>
      <c r="U17" s="717">
        <f>79.4-79.4</f>
        <v>0</v>
      </c>
      <c r="V17" s="717">
        <f>79.4-79.4</f>
        <v>0</v>
      </c>
    </row>
    <row r="18" spans="1:22" ht="15" customHeight="1">
      <c r="A18" s="1134"/>
      <c r="B18" s="1108"/>
      <c r="C18" s="1111"/>
      <c r="D18" s="1114"/>
      <c r="E18" s="1117"/>
      <c r="F18" s="1121"/>
      <c r="G18" s="1131"/>
      <c r="H18" s="515" t="s">
        <v>25</v>
      </c>
      <c r="I18" s="170">
        <f>J18+L18</f>
        <v>0</v>
      </c>
      <c r="J18" s="196"/>
      <c r="K18" s="196"/>
      <c r="L18" s="197"/>
      <c r="M18" s="170">
        <f>N18+P18</f>
        <v>0</v>
      </c>
      <c r="N18" s="193"/>
      <c r="O18" s="193"/>
      <c r="P18" s="194"/>
      <c r="Q18" s="377">
        <f>R18+T18</f>
        <v>0</v>
      </c>
      <c r="R18" s="392"/>
      <c r="S18" s="392"/>
      <c r="T18" s="393"/>
      <c r="U18" s="717">
        <f>659.1-659.1</f>
        <v>0</v>
      </c>
      <c r="V18" s="717">
        <f>659.1-659.1</f>
        <v>0</v>
      </c>
    </row>
    <row r="19" spans="1:22" ht="15" customHeight="1" thickBot="1">
      <c r="A19" s="1135"/>
      <c r="B19" s="1109"/>
      <c r="C19" s="1112"/>
      <c r="D19" s="1115"/>
      <c r="E19" s="1118"/>
      <c r="F19" s="1122"/>
      <c r="G19" s="1132"/>
      <c r="H19" s="698" t="s">
        <v>20</v>
      </c>
      <c r="I19" s="367">
        <f aca="true" t="shared" si="1" ref="I19:V19">SUM(I16:I18)</f>
        <v>0</v>
      </c>
      <c r="J19" s="448">
        <f t="shared" si="1"/>
        <v>0</v>
      </c>
      <c r="K19" s="448">
        <f t="shared" si="1"/>
        <v>0</v>
      </c>
      <c r="L19" s="370">
        <f t="shared" si="1"/>
        <v>0</v>
      </c>
      <c r="M19" s="367">
        <f t="shared" si="1"/>
        <v>0</v>
      </c>
      <c r="N19" s="448">
        <f t="shared" si="1"/>
        <v>0</v>
      </c>
      <c r="O19" s="448">
        <f t="shared" si="1"/>
        <v>0</v>
      </c>
      <c r="P19" s="370">
        <f t="shared" si="1"/>
        <v>0</v>
      </c>
      <c r="Q19" s="367">
        <f t="shared" si="1"/>
        <v>0</v>
      </c>
      <c r="R19" s="448">
        <f t="shared" si="1"/>
        <v>0</v>
      </c>
      <c r="S19" s="448">
        <f t="shared" si="1"/>
        <v>0</v>
      </c>
      <c r="T19" s="370">
        <f t="shared" si="1"/>
        <v>0</v>
      </c>
      <c r="U19" s="372">
        <f t="shared" si="1"/>
        <v>0</v>
      </c>
      <c r="V19" s="372">
        <f t="shared" si="1"/>
        <v>0</v>
      </c>
    </row>
    <row r="20" spans="1:22" ht="15" customHeight="1">
      <c r="A20" s="1133" t="s">
        <v>8</v>
      </c>
      <c r="B20" s="1107" t="s">
        <v>8</v>
      </c>
      <c r="C20" s="1136" t="s">
        <v>8</v>
      </c>
      <c r="D20" s="1139" t="s">
        <v>236</v>
      </c>
      <c r="E20" s="519" t="s">
        <v>22</v>
      </c>
      <c r="F20" s="1119" t="s">
        <v>12</v>
      </c>
      <c r="G20" s="1129" t="s">
        <v>144</v>
      </c>
      <c r="H20" s="515" t="s">
        <v>11</v>
      </c>
      <c r="I20" s="165">
        <f>J20+L20</f>
        <v>0</v>
      </c>
      <c r="J20" s="188"/>
      <c r="K20" s="188"/>
      <c r="L20" s="192"/>
      <c r="M20" s="165">
        <f>N20+P20</f>
        <v>0</v>
      </c>
      <c r="N20" s="193"/>
      <c r="O20" s="193"/>
      <c r="P20" s="194"/>
      <c r="Q20" s="374">
        <f>R20+T20</f>
        <v>0</v>
      </c>
      <c r="R20" s="390"/>
      <c r="S20" s="390"/>
      <c r="T20" s="391"/>
      <c r="U20" s="195"/>
      <c r="V20" s="195"/>
    </row>
    <row r="21" spans="1:22" ht="15" customHeight="1">
      <c r="A21" s="1134"/>
      <c r="B21" s="1108"/>
      <c r="C21" s="1137"/>
      <c r="D21" s="1140"/>
      <c r="E21" s="1142" t="s">
        <v>237</v>
      </c>
      <c r="F21" s="1121"/>
      <c r="G21" s="1131"/>
      <c r="H21" s="510" t="s">
        <v>53</v>
      </c>
      <c r="I21" s="170">
        <f>J21+L21</f>
        <v>0</v>
      </c>
      <c r="J21" s="196"/>
      <c r="K21" s="196"/>
      <c r="L21" s="197"/>
      <c r="M21" s="170">
        <f>N21+P21</f>
        <v>0</v>
      </c>
      <c r="N21" s="193"/>
      <c r="O21" s="193"/>
      <c r="P21" s="194"/>
      <c r="Q21" s="377">
        <f>R21+T21</f>
        <v>0</v>
      </c>
      <c r="R21" s="392"/>
      <c r="S21" s="392"/>
      <c r="T21" s="393"/>
      <c r="U21" s="520">
        <v>1139.4</v>
      </c>
      <c r="V21" s="198"/>
    </row>
    <row r="22" spans="1:22" ht="15" customHeight="1" thickBot="1">
      <c r="A22" s="1135"/>
      <c r="B22" s="1109"/>
      <c r="C22" s="1138"/>
      <c r="D22" s="1141"/>
      <c r="E22" s="1143"/>
      <c r="F22" s="1122"/>
      <c r="G22" s="1132"/>
      <c r="H22" s="698" t="s">
        <v>20</v>
      </c>
      <c r="I22" s="367">
        <f aca="true" t="shared" si="2" ref="I22:V22">SUM(I20:I21)</f>
        <v>0</v>
      </c>
      <c r="J22" s="368">
        <f t="shared" si="2"/>
        <v>0</v>
      </c>
      <c r="K22" s="369">
        <f t="shared" si="2"/>
        <v>0</v>
      </c>
      <c r="L22" s="370">
        <f t="shared" si="2"/>
        <v>0</v>
      </c>
      <c r="M22" s="367">
        <f t="shared" si="2"/>
        <v>0</v>
      </c>
      <c r="N22" s="368">
        <f t="shared" si="2"/>
        <v>0</v>
      </c>
      <c r="O22" s="369">
        <f t="shared" si="2"/>
        <v>0</v>
      </c>
      <c r="P22" s="370">
        <f t="shared" si="2"/>
        <v>0</v>
      </c>
      <c r="Q22" s="367">
        <f t="shared" si="2"/>
        <v>0</v>
      </c>
      <c r="R22" s="368">
        <f t="shared" si="2"/>
        <v>0</v>
      </c>
      <c r="S22" s="369">
        <f t="shared" si="2"/>
        <v>0</v>
      </c>
      <c r="T22" s="370">
        <f t="shared" si="2"/>
        <v>0</v>
      </c>
      <c r="U22" s="372">
        <f t="shared" si="2"/>
        <v>1139.4</v>
      </c>
      <c r="V22" s="372">
        <f t="shared" si="2"/>
        <v>0</v>
      </c>
    </row>
    <row r="23" spans="1:22" ht="15" customHeight="1">
      <c r="A23" s="1133" t="s">
        <v>8</v>
      </c>
      <c r="B23" s="1107" t="s">
        <v>8</v>
      </c>
      <c r="C23" s="1110" t="s">
        <v>8</v>
      </c>
      <c r="D23" s="1139" t="s">
        <v>238</v>
      </c>
      <c r="E23" s="1147" t="s">
        <v>22</v>
      </c>
      <c r="F23" s="1119" t="s">
        <v>12</v>
      </c>
      <c r="G23" s="1129" t="s">
        <v>144</v>
      </c>
      <c r="H23" s="515" t="s">
        <v>53</v>
      </c>
      <c r="I23" s="170">
        <f>J23+L23</f>
        <v>0</v>
      </c>
      <c r="J23" s="196"/>
      <c r="K23" s="196"/>
      <c r="L23" s="197"/>
      <c r="M23" s="170">
        <f>N23+P23</f>
        <v>0</v>
      </c>
      <c r="N23" s="193"/>
      <c r="O23" s="193"/>
      <c r="P23" s="262"/>
      <c r="Q23" s="377">
        <f>R23+T23</f>
        <v>0</v>
      </c>
      <c r="R23" s="375"/>
      <c r="S23" s="375"/>
      <c r="T23" s="376"/>
      <c r="U23" s="198"/>
      <c r="V23" s="195"/>
    </row>
    <row r="24" spans="1:22" ht="15" customHeight="1">
      <c r="A24" s="1134"/>
      <c r="B24" s="1108"/>
      <c r="C24" s="1111"/>
      <c r="D24" s="1140"/>
      <c r="E24" s="1148"/>
      <c r="F24" s="1150"/>
      <c r="G24" s="1130"/>
      <c r="H24" s="521" t="s">
        <v>30</v>
      </c>
      <c r="I24" s="522">
        <f>J24+L24</f>
        <v>0</v>
      </c>
      <c r="J24" s="523"/>
      <c r="K24" s="523"/>
      <c r="L24" s="524"/>
      <c r="M24" s="522">
        <f>N24+P24</f>
        <v>200</v>
      </c>
      <c r="N24" s="525"/>
      <c r="O24" s="525"/>
      <c r="P24" s="526">
        <v>200</v>
      </c>
      <c r="Q24" s="659">
        <f>R24+T24</f>
        <v>200</v>
      </c>
      <c r="R24" s="654"/>
      <c r="S24" s="654"/>
      <c r="T24" s="660">
        <v>200</v>
      </c>
      <c r="U24" s="527"/>
      <c r="V24" s="527"/>
    </row>
    <row r="25" spans="1:22" ht="15" customHeight="1" thickBot="1">
      <c r="A25" s="1135"/>
      <c r="B25" s="1109"/>
      <c r="C25" s="1112"/>
      <c r="D25" s="1140"/>
      <c r="E25" s="1149"/>
      <c r="F25" s="1122"/>
      <c r="G25" s="1131"/>
      <c r="H25" s="698" t="s">
        <v>20</v>
      </c>
      <c r="I25" s="367">
        <f>SUM(I23:I24)</f>
        <v>0</v>
      </c>
      <c r="J25" s="369">
        <f>SUM(J23,J24)</f>
        <v>0</v>
      </c>
      <c r="K25" s="369">
        <f>SUM(K23,K24)</f>
        <v>0</v>
      </c>
      <c r="L25" s="370">
        <f>SUM(L23,L24)</f>
        <v>0</v>
      </c>
      <c r="M25" s="367">
        <f>SUM(M23:M24)</f>
        <v>200</v>
      </c>
      <c r="N25" s="369">
        <f>SUM(N23,N24)</f>
        <v>0</v>
      </c>
      <c r="O25" s="369">
        <f>SUM(O23,O24)</f>
        <v>0</v>
      </c>
      <c r="P25" s="370">
        <f>SUM(P23,P24)</f>
        <v>200</v>
      </c>
      <c r="Q25" s="367">
        <f>SUM(Q23:Q24)</f>
        <v>200</v>
      </c>
      <c r="R25" s="369">
        <f>SUM(R23,R24)</f>
        <v>0</v>
      </c>
      <c r="S25" s="369">
        <f>SUM(S23,S24)</f>
        <v>0</v>
      </c>
      <c r="T25" s="370">
        <f>SUM(T23,T24)</f>
        <v>200</v>
      </c>
      <c r="U25" s="372">
        <f>SUM(U23,U24)</f>
        <v>0</v>
      </c>
      <c r="V25" s="372">
        <f>SUM(V23,V24)</f>
        <v>0</v>
      </c>
    </row>
    <row r="26" spans="1:22" ht="15" customHeight="1">
      <c r="A26" s="1133" t="s">
        <v>8</v>
      </c>
      <c r="B26" s="1107" t="s">
        <v>8</v>
      </c>
      <c r="C26" s="1110" t="s">
        <v>8</v>
      </c>
      <c r="D26" s="1113" t="s">
        <v>295</v>
      </c>
      <c r="E26" s="1116" t="s">
        <v>22</v>
      </c>
      <c r="F26" s="1119" t="s">
        <v>12</v>
      </c>
      <c r="G26" s="1129" t="s">
        <v>144</v>
      </c>
      <c r="H26" s="515" t="s">
        <v>11</v>
      </c>
      <c r="I26" s="170">
        <f>J26+L26</f>
        <v>0</v>
      </c>
      <c r="J26" s="196"/>
      <c r="K26" s="196"/>
      <c r="L26" s="197"/>
      <c r="M26" s="170">
        <f>N26+P26</f>
        <v>0</v>
      </c>
      <c r="N26" s="193"/>
      <c r="O26" s="193"/>
      <c r="P26" s="194"/>
      <c r="Q26" s="377">
        <f>R26+T26</f>
        <v>0</v>
      </c>
      <c r="R26" s="392"/>
      <c r="S26" s="392"/>
      <c r="T26" s="393"/>
      <c r="U26" s="717">
        <v>64.2</v>
      </c>
      <c r="V26" s="198"/>
    </row>
    <row r="27" spans="1:22" ht="15" customHeight="1">
      <c r="A27" s="1134"/>
      <c r="B27" s="1108"/>
      <c r="C27" s="1111"/>
      <c r="D27" s="1114"/>
      <c r="E27" s="1117"/>
      <c r="F27" s="1120"/>
      <c r="G27" s="1130"/>
      <c r="H27" s="515" t="s">
        <v>18</v>
      </c>
      <c r="I27" s="170">
        <f>J27+L27</f>
        <v>0</v>
      </c>
      <c r="J27" s="196"/>
      <c r="K27" s="196"/>
      <c r="L27" s="197"/>
      <c r="M27" s="170">
        <f>N27+P27</f>
        <v>0</v>
      </c>
      <c r="N27" s="193"/>
      <c r="O27" s="193"/>
      <c r="P27" s="194"/>
      <c r="Q27" s="377">
        <f>R27+T27</f>
        <v>0</v>
      </c>
      <c r="R27" s="392"/>
      <c r="S27" s="392"/>
      <c r="T27" s="393"/>
      <c r="U27" s="717">
        <v>1212.2</v>
      </c>
      <c r="V27" s="198"/>
    </row>
    <row r="28" spans="1:22" ht="15" customHeight="1">
      <c r="A28" s="1134"/>
      <c r="B28" s="1108"/>
      <c r="C28" s="1111"/>
      <c r="D28" s="1114"/>
      <c r="E28" s="1117"/>
      <c r="F28" s="1121"/>
      <c r="G28" s="1131"/>
      <c r="H28" s="515" t="s">
        <v>110</v>
      </c>
      <c r="I28" s="170">
        <f>J28+L28</f>
        <v>0</v>
      </c>
      <c r="J28" s="196"/>
      <c r="K28" s="196"/>
      <c r="L28" s="197"/>
      <c r="M28" s="170">
        <f>N28+P28</f>
        <v>0</v>
      </c>
      <c r="N28" s="193"/>
      <c r="O28" s="193"/>
      <c r="P28" s="194"/>
      <c r="Q28" s="377">
        <f>R28+T28</f>
        <v>0</v>
      </c>
      <c r="R28" s="392"/>
      <c r="S28" s="392"/>
      <c r="T28" s="393"/>
      <c r="U28" s="717">
        <v>149.8</v>
      </c>
      <c r="V28" s="198"/>
    </row>
    <row r="29" spans="1:22" ht="15" customHeight="1" thickBot="1">
      <c r="A29" s="1135"/>
      <c r="B29" s="1109"/>
      <c r="C29" s="1112"/>
      <c r="D29" s="1115"/>
      <c r="E29" s="1118"/>
      <c r="F29" s="1122"/>
      <c r="G29" s="1132"/>
      <c r="H29" s="698" t="s">
        <v>20</v>
      </c>
      <c r="I29" s="367">
        <f aca="true" t="shared" si="3" ref="I29:V29">SUM(I26:I28)</f>
        <v>0</v>
      </c>
      <c r="J29" s="448">
        <f t="shared" si="3"/>
        <v>0</v>
      </c>
      <c r="K29" s="448">
        <f t="shared" si="3"/>
        <v>0</v>
      </c>
      <c r="L29" s="370">
        <f t="shared" si="3"/>
        <v>0</v>
      </c>
      <c r="M29" s="367">
        <f t="shared" si="3"/>
        <v>0</v>
      </c>
      <c r="N29" s="448">
        <f t="shared" si="3"/>
        <v>0</v>
      </c>
      <c r="O29" s="448">
        <f t="shared" si="3"/>
        <v>0</v>
      </c>
      <c r="P29" s="370">
        <f t="shared" si="3"/>
        <v>0</v>
      </c>
      <c r="Q29" s="367">
        <f t="shared" si="3"/>
        <v>0</v>
      </c>
      <c r="R29" s="448">
        <f t="shared" si="3"/>
        <v>0</v>
      </c>
      <c r="S29" s="448">
        <f t="shared" si="3"/>
        <v>0</v>
      </c>
      <c r="T29" s="370">
        <f t="shared" si="3"/>
        <v>0</v>
      </c>
      <c r="U29" s="372">
        <f>SUM(U26:U28)</f>
        <v>1426.2</v>
      </c>
      <c r="V29" s="372">
        <f t="shared" si="3"/>
        <v>0</v>
      </c>
    </row>
    <row r="30" spans="1:22" ht="15" customHeight="1" thickBot="1">
      <c r="A30" s="1152" t="s">
        <v>159</v>
      </c>
      <c r="B30" s="1153"/>
      <c r="C30" s="1153"/>
      <c r="D30" s="1153"/>
      <c r="E30" s="1153"/>
      <c r="F30" s="1153"/>
      <c r="G30" s="1153"/>
      <c r="H30" s="1154"/>
      <c r="I30" s="528"/>
      <c r="J30" s="529"/>
      <c r="K30" s="529"/>
      <c r="L30" s="530"/>
      <c r="M30" s="714">
        <f>SUM(M29,M25,M22,M19,M15)</f>
        <v>2270</v>
      </c>
      <c r="N30" s="713">
        <f aca="true" t="shared" si="4" ref="N30:V30">SUM(N29,N25,N22,N19,N15)</f>
        <v>0</v>
      </c>
      <c r="O30" s="713">
        <f t="shared" si="4"/>
        <v>0</v>
      </c>
      <c r="P30" s="715">
        <f t="shared" si="4"/>
        <v>2270</v>
      </c>
      <c r="Q30" s="714">
        <f t="shared" si="4"/>
        <v>2270</v>
      </c>
      <c r="R30" s="713">
        <f t="shared" si="4"/>
        <v>0</v>
      </c>
      <c r="S30" s="713">
        <f t="shared" si="4"/>
        <v>0</v>
      </c>
      <c r="T30" s="715">
        <f t="shared" si="4"/>
        <v>2270</v>
      </c>
      <c r="U30" s="716">
        <f>SUM(U29,U25,U22,U19,U15)</f>
        <v>4635.6</v>
      </c>
      <c r="V30" s="528">
        <f t="shared" si="4"/>
        <v>0</v>
      </c>
    </row>
    <row r="31" spans="1:22" ht="15" customHeight="1">
      <c r="A31" s="1155" t="s">
        <v>8</v>
      </c>
      <c r="B31" s="1157" t="s">
        <v>8</v>
      </c>
      <c r="C31" s="1159" t="s">
        <v>9</v>
      </c>
      <c r="D31" s="1144" t="s">
        <v>239</v>
      </c>
      <c r="E31" s="1147" t="s">
        <v>22</v>
      </c>
      <c r="F31" s="1119" t="s">
        <v>12</v>
      </c>
      <c r="G31" s="1129" t="s">
        <v>144</v>
      </c>
      <c r="H31" s="531" t="s">
        <v>53</v>
      </c>
      <c r="I31" s="170">
        <f>J31+L31</f>
        <v>0</v>
      </c>
      <c r="J31" s="196"/>
      <c r="K31" s="196"/>
      <c r="L31" s="197"/>
      <c r="M31" s="178">
        <f>N31+P31</f>
        <v>0</v>
      </c>
      <c r="N31" s="204"/>
      <c r="O31" s="204"/>
      <c r="P31" s="306"/>
      <c r="Q31" s="380">
        <f>R31+T31</f>
        <v>0</v>
      </c>
      <c r="R31" s="378"/>
      <c r="S31" s="378"/>
      <c r="T31" s="379"/>
      <c r="U31" s="203">
        <v>3376.8</v>
      </c>
      <c r="V31" s="195"/>
    </row>
    <row r="32" spans="1:22" ht="15" customHeight="1">
      <c r="A32" s="1134"/>
      <c r="B32" s="1108"/>
      <c r="C32" s="1111"/>
      <c r="D32" s="1145"/>
      <c r="E32" s="1148"/>
      <c r="F32" s="1150"/>
      <c r="G32" s="1151"/>
      <c r="H32" s="532" t="s">
        <v>11</v>
      </c>
      <c r="I32" s="522">
        <f>J32+L32</f>
        <v>0</v>
      </c>
      <c r="J32" s="523"/>
      <c r="K32" s="523"/>
      <c r="L32" s="524"/>
      <c r="M32" s="522">
        <f>N32+P32</f>
        <v>0</v>
      </c>
      <c r="N32" s="525"/>
      <c r="O32" s="525"/>
      <c r="P32" s="526"/>
      <c r="Q32" s="659">
        <f>R32+T32</f>
        <v>0</v>
      </c>
      <c r="R32" s="654"/>
      <c r="S32" s="654"/>
      <c r="T32" s="660"/>
      <c r="U32" s="527"/>
      <c r="V32" s="527"/>
    </row>
    <row r="33" spans="1:22" ht="15" customHeight="1" thickBot="1">
      <c r="A33" s="1156"/>
      <c r="B33" s="1158"/>
      <c r="C33" s="1160"/>
      <c r="D33" s="1146"/>
      <c r="E33" s="1149"/>
      <c r="F33" s="1122"/>
      <c r="G33" s="1132"/>
      <c r="H33" s="698" t="s">
        <v>20</v>
      </c>
      <c r="I33" s="367">
        <f>SUM(I31:I32)</f>
        <v>0</v>
      </c>
      <c r="J33" s="369">
        <f>SUM(J31,J32)</f>
        <v>0</v>
      </c>
      <c r="K33" s="369">
        <f>SUM(K31,K32)</f>
        <v>0</v>
      </c>
      <c r="L33" s="370">
        <f>SUM(L31,L32)</f>
        <v>0</v>
      </c>
      <c r="M33" s="367">
        <f>SUM(M31:M32)</f>
        <v>0</v>
      </c>
      <c r="N33" s="369">
        <f>SUM(N31,N32)</f>
        <v>0</v>
      </c>
      <c r="O33" s="369">
        <f>SUM(O31,O32)</f>
        <v>0</v>
      </c>
      <c r="P33" s="370">
        <f>SUM(P31,P32)</f>
        <v>0</v>
      </c>
      <c r="Q33" s="367">
        <f>SUM(Q31:Q32)</f>
        <v>0</v>
      </c>
      <c r="R33" s="369">
        <f>SUM(R31,R32)</f>
        <v>0</v>
      </c>
      <c r="S33" s="369">
        <f>SUM(S31,S32)</f>
        <v>0</v>
      </c>
      <c r="T33" s="370">
        <f>SUM(T31,T32)</f>
        <v>0</v>
      </c>
      <c r="U33" s="372">
        <f>SUM(U31,U32)</f>
        <v>3376.8</v>
      </c>
      <c r="V33" s="372">
        <f>SUM(V31,V32)</f>
        <v>0</v>
      </c>
    </row>
    <row r="34" spans="1:22" ht="15" customHeight="1">
      <c r="A34" s="1133" t="s">
        <v>8</v>
      </c>
      <c r="B34" s="1107" t="s">
        <v>8</v>
      </c>
      <c r="C34" s="1136" t="s">
        <v>9</v>
      </c>
      <c r="D34" s="1139" t="s">
        <v>240</v>
      </c>
      <c r="E34" s="519" t="s">
        <v>22</v>
      </c>
      <c r="F34" s="1119" t="s">
        <v>12</v>
      </c>
      <c r="G34" s="1129" t="s">
        <v>144</v>
      </c>
      <c r="H34" s="510" t="s">
        <v>53</v>
      </c>
      <c r="I34" s="165">
        <f>J34+L34</f>
        <v>0</v>
      </c>
      <c r="J34" s="188"/>
      <c r="K34" s="188"/>
      <c r="L34" s="192"/>
      <c r="M34" s="165">
        <f>N34+P34</f>
        <v>0</v>
      </c>
      <c r="N34" s="193"/>
      <c r="O34" s="193"/>
      <c r="P34" s="194"/>
      <c r="Q34" s="374">
        <f>R34+T34</f>
        <v>0</v>
      </c>
      <c r="R34" s="390"/>
      <c r="S34" s="390"/>
      <c r="T34" s="391"/>
      <c r="U34" s="195"/>
      <c r="V34" s="195"/>
    </row>
    <row r="35" spans="1:22" ht="15" customHeight="1">
      <c r="A35" s="1134"/>
      <c r="B35" s="1108"/>
      <c r="C35" s="1137"/>
      <c r="D35" s="1140"/>
      <c r="E35" s="1161" t="s">
        <v>237</v>
      </c>
      <c r="F35" s="1121"/>
      <c r="G35" s="1131"/>
      <c r="H35" s="515" t="s">
        <v>30</v>
      </c>
      <c r="I35" s="170">
        <f>J35+L35</f>
        <v>0</v>
      </c>
      <c r="J35" s="196"/>
      <c r="K35" s="196"/>
      <c r="L35" s="197"/>
      <c r="M35" s="170">
        <f>N35+P35</f>
        <v>0</v>
      </c>
      <c r="N35" s="193"/>
      <c r="O35" s="193"/>
      <c r="P35" s="194"/>
      <c r="Q35" s="377">
        <f>R35+T35</f>
        <v>0</v>
      </c>
      <c r="R35" s="392"/>
      <c r="S35" s="392"/>
      <c r="T35" s="393"/>
      <c r="U35" s="520">
        <v>870</v>
      </c>
      <c r="V35" s="198">
        <v>910</v>
      </c>
    </row>
    <row r="36" spans="1:22" ht="15" customHeight="1" thickBot="1">
      <c r="A36" s="1135"/>
      <c r="B36" s="1109"/>
      <c r="C36" s="1138"/>
      <c r="D36" s="1141"/>
      <c r="E36" s="1162"/>
      <c r="F36" s="1122"/>
      <c r="G36" s="1132"/>
      <c r="H36" s="698" t="s">
        <v>20</v>
      </c>
      <c r="I36" s="367">
        <f aca="true" t="shared" si="5" ref="I36:V36">SUM(I34:I35)</f>
        <v>0</v>
      </c>
      <c r="J36" s="368">
        <f t="shared" si="5"/>
        <v>0</v>
      </c>
      <c r="K36" s="369">
        <f t="shared" si="5"/>
        <v>0</v>
      </c>
      <c r="L36" s="370">
        <f t="shared" si="5"/>
        <v>0</v>
      </c>
      <c r="M36" s="367">
        <f t="shared" si="5"/>
        <v>0</v>
      </c>
      <c r="N36" s="368">
        <f t="shared" si="5"/>
        <v>0</v>
      </c>
      <c r="O36" s="369">
        <f t="shared" si="5"/>
        <v>0</v>
      </c>
      <c r="P36" s="370">
        <f t="shared" si="5"/>
        <v>0</v>
      </c>
      <c r="Q36" s="367">
        <f t="shared" si="5"/>
        <v>0</v>
      </c>
      <c r="R36" s="368">
        <f t="shared" si="5"/>
        <v>0</v>
      </c>
      <c r="S36" s="369">
        <f t="shared" si="5"/>
        <v>0</v>
      </c>
      <c r="T36" s="370">
        <f t="shared" si="5"/>
        <v>0</v>
      </c>
      <c r="U36" s="372">
        <f t="shared" si="5"/>
        <v>870</v>
      </c>
      <c r="V36" s="372">
        <f t="shared" si="5"/>
        <v>910</v>
      </c>
    </row>
    <row r="37" spans="1:22" ht="15" customHeight="1">
      <c r="A37" s="1163" t="s">
        <v>8</v>
      </c>
      <c r="B37" s="1165" t="s">
        <v>8</v>
      </c>
      <c r="C37" s="1167" t="s">
        <v>9</v>
      </c>
      <c r="D37" s="1169" t="s">
        <v>241</v>
      </c>
      <c r="E37" s="1147" t="s">
        <v>22</v>
      </c>
      <c r="F37" s="1120" t="s">
        <v>12</v>
      </c>
      <c r="G37" s="1130" t="s">
        <v>144</v>
      </c>
      <c r="H37" s="512" t="s">
        <v>53</v>
      </c>
      <c r="I37" s="178">
        <f>J37+L37</f>
        <v>0</v>
      </c>
      <c r="J37" s="179"/>
      <c r="K37" s="179"/>
      <c r="L37" s="180"/>
      <c r="M37" s="178">
        <f>N37+P37</f>
        <v>0</v>
      </c>
      <c r="N37" s="179"/>
      <c r="O37" s="179"/>
      <c r="P37" s="306"/>
      <c r="Q37" s="380">
        <f>R37+T37</f>
        <v>0</v>
      </c>
      <c r="R37" s="375"/>
      <c r="S37" s="375"/>
      <c r="T37" s="376"/>
      <c r="U37" s="183">
        <v>50</v>
      </c>
      <c r="V37" s="183"/>
    </row>
    <row r="38" spans="1:22" ht="15" customHeight="1">
      <c r="A38" s="1163"/>
      <c r="B38" s="1165"/>
      <c r="C38" s="1167"/>
      <c r="D38" s="1169"/>
      <c r="E38" s="1170"/>
      <c r="F38" s="1120"/>
      <c r="G38" s="1130"/>
      <c r="H38" s="512" t="s">
        <v>234</v>
      </c>
      <c r="I38" s="178">
        <f>J38+L38</f>
        <v>0</v>
      </c>
      <c r="J38" s="179"/>
      <c r="K38" s="179"/>
      <c r="L38" s="180"/>
      <c r="M38" s="178">
        <f>N38+P38</f>
        <v>0</v>
      </c>
      <c r="N38" s="179"/>
      <c r="O38" s="179"/>
      <c r="P38" s="306"/>
      <c r="Q38" s="380">
        <f>R38+T38</f>
        <v>0</v>
      </c>
      <c r="R38" s="378"/>
      <c r="S38" s="378"/>
      <c r="T38" s="379"/>
      <c r="U38" s="183"/>
      <c r="V38" s="183">
        <v>2500</v>
      </c>
    </row>
    <row r="39" spans="1:22" ht="15" customHeight="1">
      <c r="A39" s="1164"/>
      <c r="B39" s="1166"/>
      <c r="C39" s="1168"/>
      <c r="D39" s="1169"/>
      <c r="E39" s="1171" t="s">
        <v>242</v>
      </c>
      <c r="F39" s="1121"/>
      <c r="G39" s="1131"/>
      <c r="H39" s="515" t="s">
        <v>30</v>
      </c>
      <c r="I39" s="170">
        <f>J39+L39</f>
        <v>0</v>
      </c>
      <c r="J39" s="196"/>
      <c r="K39" s="196"/>
      <c r="L39" s="197"/>
      <c r="M39" s="170">
        <f>N39+P39</f>
        <v>0</v>
      </c>
      <c r="N39" s="196"/>
      <c r="O39" s="196"/>
      <c r="P39" s="262"/>
      <c r="Q39" s="377">
        <f>R39+T39</f>
        <v>0</v>
      </c>
      <c r="R39" s="392"/>
      <c r="S39" s="392"/>
      <c r="T39" s="393"/>
      <c r="U39" s="520"/>
      <c r="V39" s="520"/>
    </row>
    <row r="40" spans="1:22" ht="15" customHeight="1" thickBot="1">
      <c r="A40" s="1156"/>
      <c r="B40" s="1158"/>
      <c r="C40" s="1160"/>
      <c r="D40" s="1146"/>
      <c r="E40" s="1172"/>
      <c r="F40" s="1122"/>
      <c r="G40" s="1132"/>
      <c r="H40" s="698" t="s">
        <v>20</v>
      </c>
      <c r="I40" s="385">
        <f aca="true" t="shared" si="6" ref="I40:V40">SUM(I37:I39)</f>
        <v>0</v>
      </c>
      <c r="J40" s="369">
        <f t="shared" si="6"/>
        <v>0</v>
      </c>
      <c r="K40" s="368">
        <f t="shared" si="6"/>
        <v>0</v>
      </c>
      <c r="L40" s="370">
        <f t="shared" si="6"/>
        <v>0</v>
      </c>
      <c r="M40" s="385">
        <f t="shared" si="6"/>
        <v>0</v>
      </c>
      <c r="N40" s="369">
        <f t="shared" si="6"/>
        <v>0</v>
      </c>
      <c r="O40" s="368">
        <f t="shared" si="6"/>
        <v>0</v>
      </c>
      <c r="P40" s="370">
        <f t="shared" si="6"/>
        <v>0</v>
      </c>
      <c r="Q40" s="385">
        <f t="shared" si="6"/>
        <v>0</v>
      </c>
      <c r="R40" s="369">
        <f t="shared" si="6"/>
        <v>0</v>
      </c>
      <c r="S40" s="368">
        <f t="shared" si="6"/>
        <v>0</v>
      </c>
      <c r="T40" s="370">
        <f t="shared" si="6"/>
        <v>0</v>
      </c>
      <c r="U40" s="372">
        <f t="shared" si="6"/>
        <v>50</v>
      </c>
      <c r="V40" s="372">
        <f t="shared" si="6"/>
        <v>2500</v>
      </c>
    </row>
    <row r="41" spans="1:22" ht="15" customHeight="1">
      <c r="A41" s="1133" t="s">
        <v>8</v>
      </c>
      <c r="B41" s="1107" t="s">
        <v>8</v>
      </c>
      <c r="C41" s="1136" t="s">
        <v>9</v>
      </c>
      <c r="D41" s="1139" t="s">
        <v>243</v>
      </c>
      <c r="E41" s="519" t="s">
        <v>22</v>
      </c>
      <c r="F41" s="1119" t="s">
        <v>12</v>
      </c>
      <c r="G41" s="1129" t="s">
        <v>144</v>
      </c>
      <c r="H41" s="510" t="s">
        <v>53</v>
      </c>
      <c r="I41" s="165">
        <f>J41+L41</f>
        <v>0</v>
      </c>
      <c r="J41" s="188"/>
      <c r="K41" s="188"/>
      <c r="L41" s="192"/>
      <c r="M41" s="165">
        <f>N41+P41</f>
        <v>20</v>
      </c>
      <c r="N41" s="193"/>
      <c r="O41" s="193"/>
      <c r="P41" s="194">
        <v>20</v>
      </c>
      <c r="Q41" s="374">
        <f>R41+T41</f>
        <v>20</v>
      </c>
      <c r="R41" s="390"/>
      <c r="S41" s="390"/>
      <c r="T41" s="391">
        <v>20</v>
      </c>
      <c r="U41" s="195"/>
      <c r="V41" s="195"/>
    </row>
    <row r="42" spans="1:22" ht="15" customHeight="1">
      <c r="A42" s="1134"/>
      <c r="B42" s="1108"/>
      <c r="C42" s="1137"/>
      <c r="D42" s="1140"/>
      <c r="E42" s="1161" t="s">
        <v>242</v>
      </c>
      <c r="F42" s="1121"/>
      <c r="G42" s="1131"/>
      <c r="H42" s="515" t="s">
        <v>11</v>
      </c>
      <c r="I42" s="170">
        <f>J42+L42</f>
        <v>0</v>
      </c>
      <c r="J42" s="196"/>
      <c r="K42" s="196"/>
      <c r="L42" s="197"/>
      <c r="M42" s="170">
        <f>N42+P42</f>
        <v>0</v>
      </c>
      <c r="N42" s="193"/>
      <c r="O42" s="193"/>
      <c r="P42" s="194"/>
      <c r="Q42" s="377">
        <f>R42+T42</f>
        <v>0</v>
      </c>
      <c r="R42" s="392"/>
      <c r="S42" s="392"/>
      <c r="T42" s="393"/>
      <c r="U42" s="520"/>
      <c r="V42" s="198"/>
    </row>
    <row r="43" spans="1:22" ht="15" customHeight="1" thickBot="1">
      <c r="A43" s="1135"/>
      <c r="B43" s="1109"/>
      <c r="C43" s="1138"/>
      <c r="D43" s="1141"/>
      <c r="E43" s="1162"/>
      <c r="F43" s="1122"/>
      <c r="G43" s="1132"/>
      <c r="H43" s="698" t="s">
        <v>20</v>
      </c>
      <c r="I43" s="367">
        <f aca="true" t="shared" si="7" ref="I43:V43">SUM(I41:I42)</f>
        <v>0</v>
      </c>
      <c r="J43" s="368">
        <f t="shared" si="7"/>
        <v>0</v>
      </c>
      <c r="K43" s="369">
        <f t="shared" si="7"/>
        <v>0</v>
      </c>
      <c r="L43" s="370">
        <f t="shared" si="7"/>
        <v>0</v>
      </c>
      <c r="M43" s="367">
        <f t="shared" si="7"/>
        <v>20</v>
      </c>
      <c r="N43" s="368">
        <f t="shared" si="7"/>
        <v>0</v>
      </c>
      <c r="O43" s="369">
        <f t="shared" si="7"/>
        <v>0</v>
      </c>
      <c r="P43" s="370">
        <f t="shared" si="7"/>
        <v>20</v>
      </c>
      <c r="Q43" s="367">
        <f t="shared" si="7"/>
        <v>20</v>
      </c>
      <c r="R43" s="368">
        <f t="shared" si="7"/>
        <v>0</v>
      </c>
      <c r="S43" s="369">
        <f t="shared" si="7"/>
        <v>0</v>
      </c>
      <c r="T43" s="370">
        <f t="shared" si="7"/>
        <v>20</v>
      </c>
      <c r="U43" s="372">
        <f t="shared" si="7"/>
        <v>0</v>
      </c>
      <c r="V43" s="372">
        <f t="shared" si="7"/>
        <v>0</v>
      </c>
    </row>
    <row r="44" spans="1:22" ht="15" customHeight="1">
      <c r="A44" s="1133" t="s">
        <v>8</v>
      </c>
      <c r="B44" s="1107" t="s">
        <v>8</v>
      </c>
      <c r="C44" s="1110" t="s">
        <v>9</v>
      </c>
      <c r="D44" s="1139" t="s">
        <v>184</v>
      </c>
      <c r="E44" s="1147" t="s">
        <v>22</v>
      </c>
      <c r="F44" s="1119" t="s">
        <v>12</v>
      </c>
      <c r="G44" s="1129" t="s">
        <v>144</v>
      </c>
      <c r="H44" s="515" t="s">
        <v>53</v>
      </c>
      <c r="I44" s="170">
        <f>J44+L44</f>
        <v>0</v>
      </c>
      <c r="J44" s="196"/>
      <c r="K44" s="196"/>
      <c r="L44" s="197"/>
      <c r="M44" s="170">
        <f>N44+P44</f>
        <v>100</v>
      </c>
      <c r="N44" s="193"/>
      <c r="O44" s="193"/>
      <c r="P44" s="194">
        <v>100</v>
      </c>
      <c r="Q44" s="377">
        <f>R44+T44</f>
        <v>100</v>
      </c>
      <c r="R44" s="392"/>
      <c r="S44" s="392"/>
      <c r="T44" s="393">
        <v>100</v>
      </c>
      <c r="U44" s="198">
        <v>562</v>
      </c>
      <c r="V44" s="198">
        <v>3151</v>
      </c>
    </row>
    <row r="45" spans="1:22" ht="15" customHeight="1">
      <c r="A45" s="1134"/>
      <c r="B45" s="1108"/>
      <c r="C45" s="1111"/>
      <c r="D45" s="1140"/>
      <c r="E45" s="1148"/>
      <c r="F45" s="1150"/>
      <c r="G45" s="1130"/>
      <c r="H45" s="521"/>
      <c r="I45" s="522"/>
      <c r="J45" s="523"/>
      <c r="K45" s="523"/>
      <c r="L45" s="524"/>
      <c r="M45" s="522"/>
      <c r="N45" s="525"/>
      <c r="O45" s="525"/>
      <c r="P45" s="534"/>
      <c r="Q45" s="659"/>
      <c r="R45" s="654"/>
      <c r="S45" s="654"/>
      <c r="T45" s="660"/>
      <c r="U45" s="527"/>
      <c r="V45" s="527"/>
    </row>
    <row r="46" spans="1:22" ht="15" customHeight="1" thickBot="1">
      <c r="A46" s="1135"/>
      <c r="B46" s="1109"/>
      <c r="C46" s="1112"/>
      <c r="D46" s="1140"/>
      <c r="E46" s="1149"/>
      <c r="F46" s="1122"/>
      <c r="G46" s="1131"/>
      <c r="H46" s="698" t="s">
        <v>20</v>
      </c>
      <c r="I46" s="367">
        <f aca="true" t="shared" si="8" ref="I46:V46">SUM(I44)</f>
        <v>0</v>
      </c>
      <c r="J46" s="369">
        <f t="shared" si="8"/>
        <v>0</v>
      </c>
      <c r="K46" s="369">
        <f t="shared" si="8"/>
        <v>0</v>
      </c>
      <c r="L46" s="370">
        <f t="shared" si="8"/>
        <v>0</v>
      </c>
      <c r="M46" s="367">
        <f t="shared" si="8"/>
        <v>100</v>
      </c>
      <c r="N46" s="369">
        <f t="shared" si="8"/>
        <v>0</v>
      </c>
      <c r="O46" s="369">
        <f t="shared" si="8"/>
        <v>0</v>
      </c>
      <c r="P46" s="370">
        <f t="shared" si="8"/>
        <v>100</v>
      </c>
      <c r="Q46" s="367">
        <f t="shared" si="8"/>
        <v>100</v>
      </c>
      <c r="R46" s="369">
        <f t="shared" si="8"/>
        <v>0</v>
      </c>
      <c r="S46" s="369">
        <f t="shared" si="8"/>
        <v>0</v>
      </c>
      <c r="T46" s="370">
        <f t="shared" si="8"/>
        <v>100</v>
      </c>
      <c r="U46" s="372">
        <f t="shared" si="8"/>
        <v>562</v>
      </c>
      <c r="V46" s="372">
        <f t="shared" si="8"/>
        <v>3151</v>
      </c>
    </row>
    <row r="47" spans="1:22" ht="15" customHeight="1">
      <c r="A47" s="1133" t="s">
        <v>8</v>
      </c>
      <c r="B47" s="1107" t="s">
        <v>8</v>
      </c>
      <c r="C47" s="1110" t="s">
        <v>9</v>
      </c>
      <c r="D47" s="1139" t="s">
        <v>193</v>
      </c>
      <c r="E47" s="1147" t="s">
        <v>22</v>
      </c>
      <c r="F47" s="1119" t="s">
        <v>12</v>
      </c>
      <c r="G47" s="1129" t="s">
        <v>144</v>
      </c>
      <c r="H47" s="531" t="s">
        <v>53</v>
      </c>
      <c r="I47" s="165">
        <f>J47+L47</f>
        <v>0</v>
      </c>
      <c r="J47" s="162"/>
      <c r="K47" s="162"/>
      <c r="L47" s="163"/>
      <c r="M47" s="165">
        <f>N47+P47</f>
        <v>350</v>
      </c>
      <c r="N47" s="166"/>
      <c r="O47" s="166"/>
      <c r="P47" s="261">
        <v>350</v>
      </c>
      <c r="Q47" s="374">
        <f>R47+T47</f>
        <v>350</v>
      </c>
      <c r="R47" s="375"/>
      <c r="S47" s="375"/>
      <c r="T47" s="376">
        <v>350</v>
      </c>
      <c r="U47" s="195"/>
      <c r="V47" s="195"/>
    </row>
    <row r="48" spans="1:22" ht="15" customHeight="1">
      <c r="A48" s="1134"/>
      <c r="B48" s="1108"/>
      <c r="C48" s="1111"/>
      <c r="D48" s="1140"/>
      <c r="E48" s="1148"/>
      <c r="F48" s="1150"/>
      <c r="G48" s="1130"/>
      <c r="H48" s="521"/>
      <c r="I48" s="522"/>
      <c r="J48" s="523"/>
      <c r="K48" s="523"/>
      <c r="L48" s="524"/>
      <c r="M48" s="522"/>
      <c r="N48" s="525"/>
      <c r="O48" s="525"/>
      <c r="P48" s="534"/>
      <c r="Q48" s="659"/>
      <c r="R48" s="654"/>
      <c r="S48" s="654"/>
      <c r="T48" s="660"/>
      <c r="U48" s="527"/>
      <c r="V48" s="527"/>
    </row>
    <row r="49" spans="1:22" ht="15" customHeight="1" thickBot="1">
      <c r="A49" s="1135"/>
      <c r="B49" s="1109"/>
      <c r="C49" s="1112"/>
      <c r="D49" s="1141"/>
      <c r="E49" s="1149"/>
      <c r="F49" s="1122"/>
      <c r="G49" s="1132"/>
      <c r="H49" s="698" t="s">
        <v>20</v>
      </c>
      <c r="I49" s="367">
        <f aca="true" t="shared" si="9" ref="I49:V49">SUM(I47)</f>
        <v>0</v>
      </c>
      <c r="J49" s="369">
        <f t="shared" si="9"/>
        <v>0</v>
      </c>
      <c r="K49" s="369">
        <f t="shared" si="9"/>
        <v>0</v>
      </c>
      <c r="L49" s="370">
        <f t="shared" si="9"/>
        <v>0</v>
      </c>
      <c r="M49" s="367">
        <f t="shared" si="9"/>
        <v>350</v>
      </c>
      <c r="N49" s="369">
        <f t="shared" si="9"/>
        <v>0</v>
      </c>
      <c r="O49" s="369">
        <f t="shared" si="9"/>
        <v>0</v>
      </c>
      <c r="P49" s="370">
        <f t="shared" si="9"/>
        <v>350</v>
      </c>
      <c r="Q49" s="367">
        <f t="shared" si="9"/>
        <v>350</v>
      </c>
      <c r="R49" s="369">
        <f t="shared" si="9"/>
        <v>0</v>
      </c>
      <c r="S49" s="369">
        <f t="shared" si="9"/>
        <v>0</v>
      </c>
      <c r="T49" s="370">
        <f t="shared" si="9"/>
        <v>350</v>
      </c>
      <c r="U49" s="372">
        <f t="shared" si="9"/>
        <v>0</v>
      </c>
      <c r="V49" s="372">
        <f t="shared" si="9"/>
        <v>0</v>
      </c>
    </row>
    <row r="50" spans="1:22" ht="15" customHeight="1" thickBot="1">
      <c r="A50" s="1173" t="s">
        <v>160</v>
      </c>
      <c r="B50" s="1174"/>
      <c r="C50" s="1174"/>
      <c r="D50" s="1174"/>
      <c r="E50" s="1174"/>
      <c r="F50" s="1174"/>
      <c r="G50" s="1174"/>
      <c r="H50" s="1175"/>
      <c r="I50" s="714"/>
      <c r="J50" s="713"/>
      <c r="K50" s="713"/>
      <c r="L50" s="750"/>
      <c r="M50" s="714">
        <f>SUM(M49,M46,M43,M40,M36,M33)</f>
        <v>470</v>
      </c>
      <c r="N50" s="713">
        <f aca="true" t="shared" si="10" ref="N50:V50">SUM(N49,N46,N43,N40,N36,N33)</f>
        <v>0</v>
      </c>
      <c r="O50" s="713">
        <f t="shared" si="10"/>
        <v>0</v>
      </c>
      <c r="P50" s="715">
        <f t="shared" si="10"/>
        <v>470</v>
      </c>
      <c r="Q50" s="714">
        <f t="shared" si="10"/>
        <v>470</v>
      </c>
      <c r="R50" s="713">
        <f t="shared" si="10"/>
        <v>0</v>
      </c>
      <c r="S50" s="713">
        <f t="shared" si="10"/>
        <v>0</v>
      </c>
      <c r="T50" s="715">
        <f t="shared" si="10"/>
        <v>470</v>
      </c>
      <c r="U50" s="714">
        <f t="shared" si="10"/>
        <v>4858.8</v>
      </c>
      <c r="V50" s="714">
        <f t="shared" si="10"/>
        <v>6561</v>
      </c>
    </row>
    <row r="51" spans="1:22" ht="15" customHeight="1">
      <c r="A51" s="1134" t="s">
        <v>8</v>
      </c>
      <c r="B51" s="1108" t="s">
        <v>8</v>
      </c>
      <c r="C51" s="1137" t="s">
        <v>10</v>
      </c>
      <c r="D51" s="1140" t="s">
        <v>244</v>
      </c>
      <c r="E51" s="1148" t="s">
        <v>22</v>
      </c>
      <c r="F51" s="1120" t="s">
        <v>12</v>
      </c>
      <c r="G51" s="1130" t="s">
        <v>144</v>
      </c>
      <c r="H51" s="510" t="s">
        <v>234</v>
      </c>
      <c r="I51" s="178">
        <f>J51+L51</f>
        <v>0</v>
      </c>
      <c r="J51" s="746"/>
      <c r="K51" s="746"/>
      <c r="L51" s="747"/>
      <c r="M51" s="178">
        <f>N51+P51</f>
        <v>100</v>
      </c>
      <c r="N51" s="204"/>
      <c r="O51" s="204"/>
      <c r="P51" s="748">
        <v>100</v>
      </c>
      <c r="Q51" s="380">
        <f>R51+T51</f>
        <v>0</v>
      </c>
      <c r="R51" s="749"/>
      <c r="S51" s="749"/>
      <c r="T51" s="379"/>
      <c r="U51" s="203">
        <v>300</v>
      </c>
      <c r="V51" s="203"/>
    </row>
    <row r="52" spans="1:22" ht="15" customHeight="1">
      <c r="A52" s="1134"/>
      <c r="B52" s="1108"/>
      <c r="C52" s="1137"/>
      <c r="D52" s="1140"/>
      <c r="E52" s="1148"/>
      <c r="F52" s="1150"/>
      <c r="G52" s="1151"/>
      <c r="H52" s="655" t="s">
        <v>11</v>
      </c>
      <c r="I52" s="170">
        <f>J52+L52</f>
        <v>0</v>
      </c>
      <c r="J52" s="196"/>
      <c r="K52" s="196"/>
      <c r="L52" s="197"/>
      <c r="M52" s="170">
        <f>N52+P52</f>
        <v>0</v>
      </c>
      <c r="N52" s="193"/>
      <c r="O52" s="193"/>
      <c r="P52" s="194"/>
      <c r="Q52" s="377">
        <f>R52+T52</f>
        <v>0</v>
      </c>
      <c r="R52" s="392"/>
      <c r="S52" s="392"/>
      <c r="T52" s="393"/>
      <c r="U52" s="520"/>
      <c r="V52" s="198"/>
    </row>
    <row r="53" spans="1:22" ht="15" customHeight="1">
      <c r="A53" s="1134"/>
      <c r="B53" s="1108"/>
      <c r="C53" s="1137"/>
      <c r="D53" s="1140"/>
      <c r="E53" s="1148"/>
      <c r="F53" s="1150"/>
      <c r="G53" s="1151"/>
      <c r="H53" s="535" t="s">
        <v>53</v>
      </c>
      <c r="I53" s="522"/>
      <c r="J53" s="538"/>
      <c r="K53" s="523"/>
      <c r="L53" s="524"/>
      <c r="M53" s="522"/>
      <c r="N53" s="539"/>
      <c r="O53" s="525"/>
      <c r="P53" s="534"/>
      <c r="Q53" s="377">
        <f>R53+T53</f>
        <v>400</v>
      </c>
      <c r="R53" s="653"/>
      <c r="S53" s="654"/>
      <c r="T53" s="660">
        <v>400</v>
      </c>
      <c r="U53" s="540"/>
      <c r="V53" s="527"/>
    </row>
    <row r="54" spans="1:22" ht="15" customHeight="1" thickBot="1">
      <c r="A54" s="1135"/>
      <c r="B54" s="1109"/>
      <c r="C54" s="1138"/>
      <c r="D54" s="1141"/>
      <c r="E54" s="1149"/>
      <c r="F54" s="1122"/>
      <c r="G54" s="1132"/>
      <c r="H54" s="698" t="s">
        <v>20</v>
      </c>
      <c r="I54" s="367">
        <f aca="true" t="shared" si="11" ref="I54:P54">SUM(I51:I52)</f>
        <v>0</v>
      </c>
      <c r="J54" s="368">
        <f t="shared" si="11"/>
        <v>0</v>
      </c>
      <c r="K54" s="369">
        <f t="shared" si="11"/>
        <v>0</v>
      </c>
      <c r="L54" s="370">
        <f t="shared" si="11"/>
        <v>0</v>
      </c>
      <c r="M54" s="367">
        <f t="shared" si="11"/>
        <v>100</v>
      </c>
      <c r="N54" s="368">
        <f t="shared" si="11"/>
        <v>0</v>
      </c>
      <c r="O54" s="369">
        <f t="shared" si="11"/>
        <v>0</v>
      </c>
      <c r="P54" s="370">
        <f t="shared" si="11"/>
        <v>100</v>
      </c>
      <c r="Q54" s="367">
        <f aca="true" t="shared" si="12" ref="Q54:V54">SUM(Q51:Q53)</f>
        <v>400</v>
      </c>
      <c r="R54" s="369">
        <f t="shared" si="12"/>
        <v>0</v>
      </c>
      <c r="S54" s="369">
        <f t="shared" si="12"/>
        <v>0</v>
      </c>
      <c r="T54" s="384">
        <f t="shared" si="12"/>
        <v>400</v>
      </c>
      <c r="U54" s="372">
        <f t="shared" si="12"/>
        <v>300</v>
      </c>
      <c r="V54" s="372">
        <f t="shared" si="12"/>
        <v>0</v>
      </c>
    </row>
    <row r="55" spans="1:22" ht="15" customHeight="1">
      <c r="A55" s="1134" t="s">
        <v>8</v>
      </c>
      <c r="B55" s="1108" t="s">
        <v>8</v>
      </c>
      <c r="C55" s="1111" t="s">
        <v>10</v>
      </c>
      <c r="D55" s="1176" t="s">
        <v>245</v>
      </c>
      <c r="E55" s="516" t="s">
        <v>22</v>
      </c>
      <c r="F55" s="1120" t="s">
        <v>12</v>
      </c>
      <c r="G55" s="1130" t="s">
        <v>144</v>
      </c>
      <c r="H55" s="512" t="s">
        <v>11</v>
      </c>
      <c r="I55" s="178">
        <f>J55+L55</f>
        <v>51.1</v>
      </c>
      <c r="J55" s="179">
        <v>51.1</v>
      </c>
      <c r="K55" s="179"/>
      <c r="L55" s="180"/>
      <c r="M55" s="178">
        <f>N55+P55</f>
        <v>0</v>
      </c>
      <c r="N55" s="179"/>
      <c r="O55" s="179"/>
      <c r="P55" s="306"/>
      <c r="Q55" s="380">
        <f>R55+T55</f>
        <v>0</v>
      </c>
      <c r="R55" s="378"/>
      <c r="S55" s="378"/>
      <c r="T55" s="379"/>
      <c r="U55" s="203"/>
      <c r="V55" s="203"/>
    </row>
    <row r="56" spans="1:22" ht="15" customHeight="1">
      <c r="A56" s="1134"/>
      <c r="B56" s="1108"/>
      <c r="C56" s="1111"/>
      <c r="D56" s="1176"/>
      <c r="E56" s="516"/>
      <c r="F56" s="1120"/>
      <c r="G56" s="1130"/>
      <c r="H56" s="512" t="s">
        <v>30</v>
      </c>
      <c r="I56" s="178">
        <f>J56+L56</f>
        <v>0</v>
      </c>
      <c r="J56" s="179"/>
      <c r="K56" s="179"/>
      <c r="L56" s="180"/>
      <c r="M56" s="178">
        <f>N56+P56</f>
        <v>0</v>
      </c>
      <c r="N56" s="179"/>
      <c r="O56" s="179"/>
      <c r="P56" s="306"/>
      <c r="Q56" s="380">
        <f>R56+T56</f>
        <v>0</v>
      </c>
      <c r="R56" s="378"/>
      <c r="S56" s="378"/>
      <c r="T56" s="379"/>
      <c r="U56" s="203">
        <v>2837.3</v>
      </c>
      <c r="V56" s="203"/>
    </row>
    <row r="57" spans="1:22" ht="15" customHeight="1">
      <c r="A57" s="1134"/>
      <c r="B57" s="1108"/>
      <c r="C57" s="1111"/>
      <c r="D57" s="1176"/>
      <c r="E57" s="1178" t="s">
        <v>246</v>
      </c>
      <c r="F57" s="1120"/>
      <c r="G57" s="1130"/>
      <c r="H57" s="512" t="s">
        <v>53</v>
      </c>
      <c r="I57" s="178">
        <f>J57+L57</f>
        <v>3850</v>
      </c>
      <c r="J57" s="179"/>
      <c r="K57" s="179"/>
      <c r="L57" s="180">
        <v>3850</v>
      </c>
      <c r="M57" s="178">
        <f>N57+P57</f>
        <v>3963</v>
      </c>
      <c r="N57" s="179"/>
      <c r="O57" s="179"/>
      <c r="P57" s="306">
        <v>3963</v>
      </c>
      <c r="Q57" s="380">
        <f>R57+T57</f>
        <v>3263</v>
      </c>
      <c r="R57" s="378"/>
      <c r="S57" s="378"/>
      <c r="T57" s="379">
        <f>3963-1663+963</f>
        <v>3263</v>
      </c>
      <c r="U57" s="203">
        <v>4000</v>
      </c>
      <c r="V57" s="203">
        <v>1995</v>
      </c>
    </row>
    <row r="58" spans="1:22" ht="15" customHeight="1">
      <c r="A58" s="1134"/>
      <c r="B58" s="1108"/>
      <c r="C58" s="1111"/>
      <c r="D58" s="1176"/>
      <c r="E58" s="1179"/>
      <c r="F58" s="1121"/>
      <c r="G58" s="1131"/>
      <c r="H58" s="515" t="s">
        <v>25</v>
      </c>
      <c r="I58" s="170">
        <f>J58+L58</f>
        <v>3000</v>
      </c>
      <c r="J58" s="196"/>
      <c r="K58" s="196"/>
      <c r="L58" s="197">
        <v>3000</v>
      </c>
      <c r="M58" s="170">
        <f>N58+P58</f>
        <v>7000</v>
      </c>
      <c r="N58" s="193"/>
      <c r="O58" s="193"/>
      <c r="P58" s="194">
        <v>7000</v>
      </c>
      <c r="Q58" s="377">
        <f>R58+T58</f>
        <v>7000</v>
      </c>
      <c r="R58" s="392"/>
      <c r="S58" s="392"/>
      <c r="T58" s="393">
        <v>7000</v>
      </c>
      <c r="U58" s="198"/>
      <c r="V58" s="198"/>
    </row>
    <row r="59" spans="1:22" ht="15" customHeight="1" thickBot="1">
      <c r="A59" s="1135"/>
      <c r="B59" s="1109"/>
      <c r="C59" s="1112"/>
      <c r="D59" s="1177"/>
      <c r="E59" s="1180"/>
      <c r="F59" s="1122"/>
      <c r="G59" s="1132"/>
      <c r="H59" s="698" t="s">
        <v>20</v>
      </c>
      <c r="I59" s="367">
        <f aca="true" t="shared" si="13" ref="I59:V59">SUM(I55:I58)</f>
        <v>6901.1</v>
      </c>
      <c r="J59" s="384">
        <f t="shared" si="13"/>
        <v>51.1</v>
      </c>
      <c r="K59" s="384">
        <f t="shared" si="13"/>
        <v>0</v>
      </c>
      <c r="L59" s="371">
        <f t="shared" si="13"/>
        <v>6850</v>
      </c>
      <c r="M59" s="367">
        <f t="shared" si="13"/>
        <v>10963</v>
      </c>
      <c r="N59" s="384">
        <f t="shared" si="13"/>
        <v>0</v>
      </c>
      <c r="O59" s="384">
        <f t="shared" si="13"/>
        <v>0</v>
      </c>
      <c r="P59" s="371">
        <f t="shared" si="13"/>
        <v>10963</v>
      </c>
      <c r="Q59" s="367">
        <f t="shared" si="13"/>
        <v>10263</v>
      </c>
      <c r="R59" s="384">
        <f t="shared" si="13"/>
        <v>0</v>
      </c>
      <c r="S59" s="384">
        <f t="shared" si="13"/>
        <v>0</v>
      </c>
      <c r="T59" s="371">
        <f t="shared" si="13"/>
        <v>10263</v>
      </c>
      <c r="U59" s="372">
        <f t="shared" si="13"/>
        <v>6837.3</v>
      </c>
      <c r="V59" s="372">
        <f t="shared" si="13"/>
        <v>1995</v>
      </c>
    </row>
    <row r="60" spans="1:22" ht="15" customHeight="1">
      <c r="A60" s="1133" t="s">
        <v>8</v>
      </c>
      <c r="B60" s="1107" t="s">
        <v>8</v>
      </c>
      <c r="C60" s="1110" t="s">
        <v>10</v>
      </c>
      <c r="D60" s="1139" t="s">
        <v>247</v>
      </c>
      <c r="E60" s="519" t="s">
        <v>22</v>
      </c>
      <c r="F60" s="1119" t="s">
        <v>12</v>
      </c>
      <c r="G60" s="1129" t="s">
        <v>144</v>
      </c>
      <c r="H60" s="515" t="s">
        <v>30</v>
      </c>
      <c r="I60" s="170">
        <f>J60+L60</f>
        <v>0</v>
      </c>
      <c r="J60" s="196"/>
      <c r="K60" s="196"/>
      <c r="L60" s="197"/>
      <c r="M60" s="170">
        <f>N60+P60</f>
        <v>0</v>
      </c>
      <c r="N60" s="193"/>
      <c r="O60" s="193"/>
      <c r="P60" s="262"/>
      <c r="Q60" s="377">
        <f>R60+T60</f>
        <v>0</v>
      </c>
      <c r="R60" s="392"/>
      <c r="S60" s="392"/>
      <c r="T60" s="393"/>
      <c r="U60" s="198"/>
      <c r="V60" s="198">
        <v>110</v>
      </c>
    </row>
    <row r="61" spans="1:22" ht="15" customHeight="1">
      <c r="A61" s="1134"/>
      <c r="B61" s="1108"/>
      <c r="C61" s="1111"/>
      <c r="D61" s="1140"/>
      <c r="E61" s="1181" t="s">
        <v>248</v>
      </c>
      <c r="F61" s="1150"/>
      <c r="G61" s="1130"/>
      <c r="H61" s="521" t="s">
        <v>11</v>
      </c>
      <c r="I61" s="522">
        <f>J61+L61</f>
        <v>0</v>
      </c>
      <c r="J61" s="523"/>
      <c r="K61" s="523"/>
      <c r="L61" s="524"/>
      <c r="M61" s="522">
        <f>N61+P61</f>
        <v>0</v>
      </c>
      <c r="N61" s="525"/>
      <c r="O61" s="525"/>
      <c r="P61" s="526"/>
      <c r="Q61" s="659">
        <f>R61+T61</f>
        <v>0</v>
      </c>
      <c r="R61" s="654"/>
      <c r="S61" s="654"/>
      <c r="T61" s="660"/>
      <c r="U61" s="527"/>
      <c r="V61" s="527"/>
    </row>
    <row r="62" spans="1:22" ht="15" customHeight="1">
      <c r="A62" s="1134"/>
      <c r="B62" s="1108"/>
      <c r="C62" s="1111"/>
      <c r="D62" s="1140"/>
      <c r="E62" s="1179"/>
      <c r="F62" s="1150"/>
      <c r="G62" s="1130"/>
      <c r="H62" s="521" t="s">
        <v>53</v>
      </c>
      <c r="I62" s="522">
        <f>J62+L62</f>
        <v>0</v>
      </c>
      <c r="J62" s="523"/>
      <c r="K62" s="523"/>
      <c r="L62" s="524"/>
      <c r="M62" s="522">
        <f>N62+P62</f>
        <v>0</v>
      </c>
      <c r="N62" s="525"/>
      <c r="O62" s="525"/>
      <c r="P62" s="526"/>
      <c r="Q62" s="659">
        <f>R62+T62</f>
        <v>0</v>
      </c>
      <c r="R62" s="654"/>
      <c r="S62" s="654"/>
      <c r="T62" s="660"/>
      <c r="U62" s="527"/>
      <c r="V62" s="527">
        <v>200</v>
      </c>
    </row>
    <row r="63" spans="1:22" ht="15" customHeight="1" thickBot="1">
      <c r="A63" s="1135"/>
      <c r="B63" s="1109"/>
      <c r="C63" s="1112"/>
      <c r="D63" s="1140"/>
      <c r="E63" s="1180"/>
      <c r="F63" s="1122"/>
      <c r="G63" s="1131"/>
      <c r="H63" s="698" t="s">
        <v>20</v>
      </c>
      <c r="I63" s="367">
        <f aca="true" t="shared" si="14" ref="I63:V63">SUM(I60:I62)</f>
        <v>0</v>
      </c>
      <c r="J63" s="369">
        <f t="shared" si="14"/>
        <v>0</v>
      </c>
      <c r="K63" s="369">
        <f t="shared" si="14"/>
        <v>0</v>
      </c>
      <c r="L63" s="370">
        <f t="shared" si="14"/>
        <v>0</v>
      </c>
      <c r="M63" s="367">
        <f t="shared" si="14"/>
        <v>0</v>
      </c>
      <c r="N63" s="369">
        <f t="shared" si="14"/>
        <v>0</v>
      </c>
      <c r="O63" s="369">
        <f t="shared" si="14"/>
        <v>0</v>
      </c>
      <c r="P63" s="370">
        <f t="shared" si="14"/>
        <v>0</v>
      </c>
      <c r="Q63" s="367">
        <f t="shared" si="14"/>
        <v>0</v>
      </c>
      <c r="R63" s="369">
        <f t="shared" si="14"/>
        <v>0</v>
      </c>
      <c r="S63" s="369">
        <f t="shared" si="14"/>
        <v>0</v>
      </c>
      <c r="T63" s="370">
        <f t="shared" si="14"/>
        <v>0</v>
      </c>
      <c r="U63" s="372">
        <f t="shared" si="14"/>
        <v>0</v>
      </c>
      <c r="V63" s="372">
        <f t="shared" si="14"/>
        <v>310</v>
      </c>
    </row>
    <row r="64" spans="1:22" ht="15" customHeight="1">
      <c r="A64" s="1155" t="s">
        <v>8</v>
      </c>
      <c r="B64" s="1157" t="s">
        <v>8</v>
      </c>
      <c r="C64" s="1159" t="s">
        <v>10</v>
      </c>
      <c r="D64" s="1182" t="s">
        <v>249</v>
      </c>
      <c r="E64" s="519" t="s">
        <v>22</v>
      </c>
      <c r="F64" s="1119" t="s">
        <v>12</v>
      </c>
      <c r="G64" s="1129" t="s">
        <v>144</v>
      </c>
      <c r="H64" s="531" t="s">
        <v>30</v>
      </c>
      <c r="I64" s="165">
        <f>J64+L64</f>
        <v>0</v>
      </c>
      <c r="J64" s="162"/>
      <c r="K64" s="162"/>
      <c r="L64" s="163"/>
      <c r="M64" s="165">
        <f>N64+P64</f>
        <v>0</v>
      </c>
      <c r="N64" s="162"/>
      <c r="O64" s="162"/>
      <c r="P64" s="199"/>
      <c r="Q64" s="374">
        <f>R64+T64</f>
        <v>0</v>
      </c>
      <c r="R64" s="375"/>
      <c r="S64" s="375"/>
      <c r="T64" s="376"/>
      <c r="U64" s="189"/>
      <c r="V64" s="189">
        <v>6000</v>
      </c>
    </row>
    <row r="65" spans="1:22" ht="15" customHeight="1">
      <c r="A65" s="1164"/>
      <c r="B65" s="1166"/>
      <c r="C65" s="1168"/>
      <c r="D65" s="1169"/>
      <c r="E65" s="1142" t="s">
        <v>250</v>
      </c>
      <c r="F65" s="1121"/>
      <c r="G65" s="1131"/>
      <c r="H65" s="512" t="s">
        <v>53</v>
      </c>
      <c r="I65" s="170">
        <f>J65+L65</f>
        <v>0</v>
      </c>
      <c r="J65" s="536"/>
      <c r="K65" s="536"/>
      <c r="L65" s="197"/>
      <c r="M65" s="170">
        <f>N65+P65</f>
        <v>0</v>
      </c>
      <c r="N65" s="196"/>
      <c r="O65" s="536"/>
      <c r="P65" s="262"/>
      <c r="Q65" s="377">
        <f>R65+T65</f>
        <v>0</v>
      </c>
      <c r="R65" s="390"/>
      <c r="S65" s="390"/>
      <c r="T65" s="393"/>
      <c r="U65" s="520"/>
      <c r="V65" s="520"/>
    </row>
    <row r="66" spans="1:22" ht="15" customHeight="1" thickBot="1">
      <c r="A66" s="1156"/>
      <c r="B66" s="1158"/>
      <c r="C66" s="1160"/>
      <c r="D66" s="1169"/>
      <c r="E66" s="1143"/>
      <c r="F66" s="1122"/>
      <c r="G66" s="1132"/>
      <c r="H66" s="698" t="s">
        <v>20</v>
      </c>
      <c r="I66" s="385">
        <f aca="true" t="shared" si="15" ref="I66:V66">SUM(I64:I65)</f>
        <v>0</v>
      </c>
      <c r="J66" s="369">
        <f t="shared" si="15"/>
        <v>0</v>
      </c>
      <c r="K66" s="384">
        <f t="shared" si="15"/>
        <v>0</v>
      </c>
      <c r="L66" s="371">
        <f t="shared" si="15"/>
        <v>0</v>
      </c>
      <c r="M66" s="385">
        <f t="shared" si="15"/>
        <v>0</v>
      </c>
      <c r="N66" s="369">
        <f t="shared" si="15"/>
        <v>0</v>
      </c>
      <c r="O66" s="384">
        <f t="shared" si="15"/>
        <v>0</v>
      </c>
      <c r="P66" s="371">
        <f t="shared" si="15"/>
        <v>0</v>
      </c>
      <c r="Q66" s="385">
        <f t="shared" si="15"/>
        <v>0</v>
      </c>
      <c r="R66" s="369">
        <f t="shared" si="15"/>
        <v>0</v>
      </c>
      <c r="S66" s="384">
        <f t="shared" si="15"/>
        <v>0</v>
      </c>
      <c r="T66" s="371">
        <f t="shared" si="15"/>
        <v>0</v>
      </c>
      <c r="U66" s="372">
        <f t="shared" si="15"/>
        <v>0</v>
      </c>
      <c r="V66" s="372">
        <f t="shared" si="15"/>
        <v>6000</v>
      </c>
    </row>
    <row r="67" spans="1:22" ht="15" customHeight="1">
      <c r="A67" s="1133" t="s">
        <v>8</v>
      </c>
      <c r="B67" s="1107" t="s">
        <v>8</v>
      </c>
      <c r="C67" s="1136" t="s">
        <v>10</v>
      </c>
      <c r="D67" s="1139" t="s">
        <v>251</v>
      </c>
      <c r="E67" s="519" t="s">
        <v>22</v>
      </c>
      <c r="F67" s="1119" t="s">
        <v>12</v>
      </c>
      <c r="G67" s="1129" t="s">
        <v>144</v>
      </c>
      <c r="H67" s="510" t="s">
        <v>53</v>
      </c>
      <c r="I67" s="165">
        <f>J67+L67</f>
        <v>0</v>
      </c>
      <c r="J67" s="188"/>
      <c r="K67" s="188"/>
      <c r="L67" s="192"/>
      <c r="M67" s="165">
        <f>N67+P67</f>
        <v>0</v>
      </c>
      <c r="N67" s="193"/>
      <c r="O67" s="193"/>
      <c r="P67" s="194"/>
      <c r="Q67" s="374">
        <f>R67+T67</f>
        <v>0</v>
      </c>
      <c r="R67" s="390"/>
      <c r="S67" s="390"/>
      <c r="T67" s="391"/>
      <c r="U67" s="195">
        <v>100</v>
      </c>
      <c r="V67" s="195">
        <f>182+300</f>
        <v>482</v>
      </c>
    </row>
    <row r="68" spans="1:22" ht="15" customHeight="1">
      <c r="A68" s="1134"/>
      <c r="B68" s="1108"/>
      <c r="C68" s="1137"/>
      <c r="D68" s="1140"/>
      <c r="E68" s="1183" t="s">
        <v>248</v>
      </c>
      <c r="F68" s="1121"/>
      <c r="G68" s="1131"/>
      <c r="H68" s="515" t="s">
        <v>11</v>
      </c>
      <c r="I68" s="170">
        <f>J68+L68</f>
        <v>0</v>
      </c>
      <c r="J68" s="196"/>
      <c r="K68" s="196"/>
      <c r="L68" s="197"/>
      <c r="M68" s="170">
        <f>N68+P68</f>
        <v>0</v>
      </c>
      <c r="N68" s="193"/>
      <c r="O68" s="193"/>
      <c r="P68" s="194"/>
      <c r="Q68" s="377">
        <f>R68+T68</f>
        <v>0</v>
      </c>
      <c r="R68" s="392"/>
      <c r="S68" s="392"/>
      <c r="T68" s="393"/>
      <c r="U68" s="520"/>
      <c r="V68" s="198"/>
    </row>
    <row r="69" spans="1:22" ht="15" customHeight="1" thickBot="1">
      <c r="A69" s="1135"/>
      <c r="B69" s="1109"/>
      <c r="C69" s="1138"/>
      <c r="D69" s="1141"/>
      <c r="E69" s="1184"/>
      <c r="F69" s="1122"/>
      <c r="G69" s="1132"/>
      <c r="H69" s="698" t="s">
        <v>20</v>
      </c>
      <c r="I69" s="367">
        <f aca="true" t="shared" si="16" ref="I69:V69">SUM(I67:I68)</f>
        <v>0</v>
      </c>
      <c r="J69" s="368">
        <f t="shared" si="16"/>
        <v>0</v>
      </c>
      <c r="K69" s="369">
        <f t="shared" si="16"/>
        <v>0</v>
      </c>
      <c r="L69" s="370">
        <f t="shared" si="16"/>
        <v>0</v>
      </c>
      <c r="M69" s="367">
        <f t="shared" si="16"/>
        <v>0</v>
      </c>
      <c r="N69" s="368">
        <f t="shared" si="16"/>
        <v>0</v>
      </c>
      <c r="O69" s="369">
        <f t="shared" si="16"/>
        <v>0</v>
      </c>
      <c r="P69" s="370">
        <f t="shared" si="16"/>
        <v>0</v>
      </c>
      <c r="Q69" s="367">
        <f t="shared" si="16"/>
        <v>0</v>
      </c>
      <c r="R69" s="368">
        <f t="shared" si="16"/>
        <v>0</v>
      </c>
      <c r="S69" s="369">
        <f t="shared" si="16"/>
        <v>0</v>
      </c>
      <c r="T69" s="370">
        <f t="shared" si="16"/>
        <v>0</v>
      </c>
      <c r="U69" s="372">
        <f t="shared" si="16"/>
        <v>100</v>
      </c>
      <c r="V69" s="372">
        <f t="shared" si="16"/>
        <v>482</v>
      </c>
    </row>
    <row r="70" spans="1:22" ht="15" customHeight="1">
      <c r="A70" s="1133" t="s">
        <v>8</v>
      </c>
      <c r="B70" s="1107" t="s">
        <v>8</v>
      </c>
      <c r="C70" s="1136" t="s">
        <v>10</v>
      </c>
      <c r="D70" s="1139" t="s">
        <v>149</v>
      </c>
      <c r="E70" s="519" t="s">
        <v>22</v>
      </c>
      <c r="F70" s="1119" t="s">
        <v>12</v>
      </c>
      <c r="G70" s="1129" t="s">
        <v>144</v>
      </c>
      <c r="H70" s="510" t="s">
        <v>53</v>
      </c>
      <c r="I70" s="165">
        <f>J70+L70</f>
        <v>0</v>
      </c>
      <c r="J70" s="188"/>
      <c r="K70" s="188"/>
      <c r="L70" s="192"/>
      <c r="M70" s="165">
        <f>N70+P70</f>
        <v>0</v>
      </c>
      <c r="N70" s="193"/>
      <c r="O70" s="193"/>
      <c r="P70" s="194"/>
      <c r="Q70" s="374">
        <f>R70+T70</f>
        <v>0</v>
      </c>
      <c r="R70" s="390"/>
      <c r="S70" s="390"/>
      <c r="T70" s="391"/>
      <c r="U70" s="195">
        <v>100</v>
      </c>
      <c r="V70" s="195">
        <v>361</v>
      </c>
    </row>
    <row r="71" spans="1:22" ht="15" customHeight="1">
      <c r="A71" s="1134"/>
      <c r="B71" s="1108"/>
      <c r="C71" s="1137"/>
      <c r="D71" s="1140"/>
      <c r="E71" s="1171" t="s">
        <v>252</v>
      </c>
      <c r="F71" s="1121"/>
      <c r="G71" s="1131"/>
      <c r="H71" s="515"/>
      <c r="I71" s="170">
        <f>J71+L71</f>
        <v>0</v>
      </c>
      <c r="J71" s="196"/>
      <c r="K71" s="196"/>
      <c r="L71" s="197"/>
      <c r="M71" s="170">
        <f>N71+P71</f>
        <v>0</v>
      </c>
      <c r="N71" s="193"/>
      <c r="O71" s="193"/>
      <c r="P71" s="194"/>
      <c r="Q71" s="377">
        <f>R71+T71</f>
        <v>0</v>
      </c>
      <c r="R71" s="392"/>
      <c r="S71" s="392"/>
      <c r="T71" s="393"/>
      <c r="U71" s="520"/>
      <c r="V71" s="198"/>
    </row>
    <row r="72" spans="1:22" ht="15" customHeight="1" thickBot="1">
      <c r="A72" s="1135"/>
      <c r="B72" s="1109"/>
      <c r="C72" s="1138"/>
      <c r="D72" s="1141"/>
      <c r="E72" s="1172"/>
      <c r="F72" s="1122"/>
      <c r="G72" s="1132"/>
      <c r="H72" s="698" t="s">
        <v>20</v>
      </c>
      <c r="I72" s="367">
        <f aca="true" t="shared" si="17" ref="I72:V72">SUM(I70:I71)</f>
        <v>0</v>
      </c>
      <c r="J72" s="368">
        <f t="shared" si="17"/>
        <v>0</v>
      </c>
      <c r="K72" s="369">
        <f t="shared" si="17"/>
        <v>0</v>
      </c>
      <c r="L72" s="370">
        <f t="shared" si="17"/>
        <v>0</v>
      </c>
      <c r="M72" s="367">
        <f t="shared" si="17"/>
        <v>0</v>
      </c>
      <c r="N72" s="368">
        <f t="shared" si="17"/>
        <v>0</v>
      </c>
      <c r="O72" s="369">
        <f t="shared" si="17"/>
        <v>0</v>
      </c>
      <c r="P72" s="370">
        <f t="shared" si="17"/>
        <v>0</v>
      </c>
      <c r="Q72" s="367">
        <f t="shared" si="17"/>
        <v>0</v>
      </c>
      <c r="R72" s="368">
        <f t="shared" si="17"/>
        <v>0</v>
      </c>
      <c r="S72" s="369">
        <f t="shared" si="17"/>
        <v>0</v>
      </c>
      <c r="T72" s="370">
        <f t="shared" si="17"/>
        <v>0</v>
      </c>
      <c r="U72" s="372">
        <f t="shared" si="17"/>
        <v>100</v>
      </c>
      <c r="V72" s="372">
        <f t="shared" si="17"/>
        <v>361</v>
      </c>
    </row>
    <row r="73" spans="1:22" ht="15" customHeight="1" thickBot="1">
      <c r="A73" s="1173" t="s">
        <v>253</v>
      </c>
      <c r="B73" s="1174"/>
      <c r="C73" s="1174"/>
      <c r="D73" s="1174"/>
      <c r="E73" s="1174"/>
      <c r="F73" s="1174"/>
      <c r="G73" s="1174"/>
      <c r="H73" s="1175"/>
      <c r="I73" s="714"/>
      <c r="J73" s="751"/>
      <c r="K73" s="713"/>
      <c r="L73" s="750"/>
      <c r="M73" s="714">
        <f>SUM(M72,M69,M66,M63,M59,M54)</f>
        <v>11063</v>
      </c>
      <c r="N73" s="713">
        <f aca="true" t="shared" si="18" ref="N73:V73">SUM(N72,N69,N66,N63,N59,N54)</f>
        <v>0</v>
      </c>
      <c r="O73" s="713">
        <f t="shared" si="18"/>
        <v>0</v>
      </c>
      <c r="P73" s="715">
        <f t="shared" si="18"/>
        <v>11063</v>
      </c>
      <c r="Q73" s="714">
        <f t="shared" si="18"/>
        <v>10663</v>
      </c>
      <c r="R73" s="713">
        <f t="shared" si="18"/>
        <v>0</v>
      </c>
      <c r="S73" s="713">
        <f t="shared" si="18"/>
        <v>0</v>
      </c>
      <c r="T73" s="715">
        <f t="shared" si="18"/>
        <v>10663</v>
      </c>
      <c r="U73" s="714">
        <f t="shared" si="18"/>
        <v>7337.3</v>
      </c>
      <c r="V73" s="714">
        <f t="shared" si="18"/>
        <v>9148</v>
      </c>
    </row>
    <row r="74" spans="1:22" ht="15" customHeight="1">
      <c r="A74" s="1134" t="s">
        <v>8</v>
      </c>
      <c r="B74" s="1108" t="s">
        <v>8</v>
      </c>
      <c r="C74" s="1137" t="s">
        <v>12</v>
      </c>
      <c r="D74" s="1140" t="s">
        <v>104</v>
      </c>
      <c r="E74" s="725" t="s">
        <v>22</v>
      </c>
      <c r="F74" s="1120" t="s">
        <v>12</v>
      </c>
      <c r="G74" s="1130" t="s">
        <v>144</v>
      </c>
      <c r="H74" s="510" t="s">
        <v>53</v>
      </c>
      <c r="I74" s="178">
        <f>J74+L74</f>
        <v>0</v>
      </c>
      <c r="J74" s="179"/>
      <c r="K74" s="179"/>
      <c r="L74" s="180"/>
      <c r="M74" s="178">
        <f>N74+P74</f>
        <v>0</v>
      </c>
      <c r="N74" s="204"/>
      <c r="O74" s="204"/>
      <c r="P74" s="306"/>
      <c r="Q74" s="380">
        <f>R74+T74</f>
        <v>0</v>
      </c>
      <c r="R74" s="378"/>
      <c r="S74" s="378"/>
      <c r="T74" s="379"/>
      <c r="U74" s="183">
        <v>400</v>
      </c>
      <c r="V74" s="183">
        <v>286</v>
      </c>
    </row>
    <row r="75" spans="1:22" ht="15" customHeight="1">
      <c r="A75" s="1134"/>
      <c r="B75" s="1108"/>
      <c r="C75" s="1137"/>
      <c r="D75" s="1140"/>
      <c r="E75" s="516"/>
      <c r="F75" s="1150"/>
      <c r="G75" s="1151"/>
      <c r="H75" s="535"/>
      <c r="I75" s="522">
        <f>J75+L75</f>
        <v>0</v>
      </c>
      <c r="J75" s="538"/>
      <c r="K75" s="526"/>
      <c r="L75" s="524"/>
      <c r="M75" s="522">
        <f>N75+P75</f>
        <v>0</v>
      </c>
      <c r="N75" s="539"/>
      <c r="O75" s="534"/>
      <c r="P75" s="526"/>
      <c r="Q75" s="659">
        <f>R75+T75</f>
        <v>0</v>
      </c>
      <c r="R75" s="653"/>
      <c r="S75" s="661"/>
      <c r="T75" s="660"/>
      <c r="U75" s="540"/>
      <c r="V75" s="540"/>
    </row>
    <row r="76" spans="1:22" ht="15" customHeight="1" thickBot="1">
      <c r="A76" s="1135"/>
      <c r="B76" s="1109"/>
      <c r="C76" s="1138"/>
      <c r="D76" s="1141"/>
      <c r="E76" s="541" t="s">
        <v>254</v>
      </c>
      <c r="F76" s="1122"/>
      <c r="G76" s="1132"/>
      <c r="H76" s="698" t="s">
        <v>20</v>
      </c>
      <c r="I76" s="367">
        <f aca="true" t="shared" si="19" ref="I76:V76">SUM(I74:I75)</f>
        <v>0</v>
      </c>
      <c r="J76" s="368">
        <f t="shared" si="19"/>
        <v>0</v>
      </c>
      <c r="K76" s="448">
        <f t="shared" si="19"/>
        <v>0</v>
      </c>
      <c r="L76" s="370">
        <f t="shared" si="19"/>
        <v>0</v>
      </c>
      <c r="M76" s="367">
        <f t="shared" si="19"/>
        <v>0</v>
      </c>
      <c r="N76" s="368">
        <f t="shared" si="19"/>
        <v>0</v>
      </c>
      <c r="O76" s="448">
        <f t="shared" si="19"/>
        <v>0</v>
      </c>
      <c r="P76" s="370">
        <f t="shared" si="19"/>
        <v>0</v>
      </c>
      <c r="Q76" s="367">
        <f t="shared" si="19"/>
        <v>0</v>
      </c>
      <c r="R76" s="368">
        <f t="shared" si="19"/>
        <v>0</v>
      </c>
      <c r="S76" s="448">
        <f t="shared" si="19"/>
        <v>0</v>
      </c>
      <c r="T76" s="370">
        <f t="shared" si="19"/>
        <v>0</v>
      </c>
      <c r="U76" s="372">
        <f t="shared" si="19"/>
        <v>400</v>
      </c>
      <c r="V76" s="372">
        <f t="shared" si="19"/>
        <v>286</v>
      </c>
    </row>
    <row r="77" spans="1:22" ht="15" customHeight="1">
      <c r="A77" s="1133" t="s">
        <v>8</v>
      </c>
      <c r="B77" s="1107" t="s">
        <v>8</v>
      </c>
      <c r="C77" s="1136" t="s">
        <v>12</v>
      </c>
      <c r="D77" s="1139" t="s">
        <v>255</v>
      </c>
      <c r="E77" s="519" t="s">
        <v>22</v>
      </c>
      <c r="F77" s="1119" t="s">
        <v>12</v>
      </c>
      <c r="G77" s="1129" t="s">
        <v>144</v>
      </c>
      <c r="H77" s="542" t="s">
        <v>11</v>
      </c>
      <c r="I77" s="165">
        <f>J77+L77</f>
        <v>0</v>
      </c>
      <c r="J77" s="162"/>
      <c r="K77" s="162"/>
      <c r="L77" s="163"/>
      <c r="M77" s="165">
        <f>N77+P77</f>
        <v>0</v>
      </c>
      <c r="N77" s="166"/>
      <c r="O77" s="166"/>
      <c r="P77" s="261"/>
      <c r="Q77" s="374">
        <f>R77+T77</f>
        <v>0</v>
      </c>
      <c r="R77" s="375"/>
      <c r="S77" s="375"/>
      <c r="T77" s="376"/>
      <c r="U77" s="189"/>
      <c r="V77" s="189"/>
    </row>
    <row r="78" spans="1:22" ht="15" customHeight="1">
      <c r="A78" s="1134"/>
      <c r="B78" s="1108"/>
      <c r="C78" s="1137"/>
      <c r="D78" s="1140"/>
      <c r="E78" s="1161" t="s">
        <v>254</v>
      </c>
      <c r="F78" s="1121"/>
      <c r="G78" s="1131"/>
      <c r="H78" s="510" t="s">
        <v>53</v>
      </c>
      <c r="I78" s="170">
        <f>J78+L78</f>
        <v>0</v>
      </c>
      <c r="J78" s="196"/>
      <c r="K78" s="196"/>
      <c r="L78" s="197"/>
      <c r="M78" s="170">
        <f>N78+P78</f>
        <v>0</v>
      </c>
      <c r="N78" s="193"/>
      <c r="O78" s="193"/>
      <c r="P78" s="194"/>
      <c r="Q78" s="377">
        <f>R78+T78</f>
        <v>0</v>
      </c>
      <c r="R78" s="392"/>
      <c r="S78" s="392"/>
      <c r="T78" s="393"/>
      <c r="U78" s="520">
        <v>300</v>
      </c>
      <c r="V78" s="520">
        <v>156</v>
      </c>
    </row>
    <row r="79" spans="1:22" ht="15" customHeight="1" thickBot="1">
      <c r="A79" s="1135"/>
      <c r="B79" s="1109"/>
      <c r="C79" s="1138"/>
      <c r="D79" s="1141"/>
      <c r="E79" s="1162"/>
      <c r="F79" s="1122"/>
      <c r="G79" s="1132"/>
      <c r="H79" s="698" t="s">
        <v>20</v>
      </c>
      <c r="I79" s="367">
        <f aca="true" t="shared" si="20" ref="I79:V79">SUM(I77:I78)</f>
        <v>0</v>
      </c>
      <c r="J79" s="368">
        <f t="shared" si="20"/>
        <v>0</v>
      </c>
      <c r="K79" s="448">
        <f t="shared" si="20"/>
        <v>0</v>
      </c>
      <c r="L79" s="370">
        <f t="shared" si="20"/>
        <v>0</v>
      </c>
      <c r="M79" s="367">
        <f t="shared" si="20"/>
        <v>0</v>
      </c>
      <c r="N79" s="368">
        <f t="shared" si="20"/>
        <v>0</v>
      </c>
      <c r="O79" s="448">
        <f t="shared" si="20"/>
        <v>0</v>
      </c>
      <c r="P79" s="370">
        <f t="shared" si="20"/>
        <v>0</v>
      </c>
      <c r="Q79" s="367">
        <f t="shared" si="20"/>
        <v>0</v>
      </c>
      <c r="R79" s="368">
        <f t="shared" si="20"/>
        <v>0</v>
      </c>
      <c r="S79" s="448">
        <f t="shared" si="20"/>
        <v>0</v>
      </c>
      <c r="T79" s="370">
        <f t="shared" si="20"/>
        <v>0</v>
      </c>
      <c r="U79" s="372">
        <f t="shared" si="20"/>
        <v>300</v>
      </c>
      <c r="V79" s="372">
        <f t="shared" si="20"/>
        <v>156</v>
      </c>
    </row>
    <row r="80" spans="1:22" ht="15" customHeight="1" thickBot="1">
      <c r="A80" s="1173" t="s">
        <v>161</v>
      </c>
      <c r="B80" s="1174"/>
      <c r="C80" s="1174"/>
      <c r="D80" s="1174"/>
      <c r="E80" s="1174"/>
      <c r="F80" s="1174"/>
      <c r="G80" s="1174"/>
      <c r="H80" s="1175"/>
      <c r="I80" s="528"/>
      <c r="J80" s="537"/>
      <c r="K80" s="543"/>
      <c r="L80" s="530"/>
      <c r="M80" s="714">
        <f>SUM(M79,M76)</f>
        <v>0</v>
      </c>
      <c r="N80" s="713">
        <f aca="true" t="shared" si="21" ref="N80:V80">SUM(N79,N76)</f>
        <v>0</v>
      </c>
      <c r="O80" s="713">
        <f t="shared" si="21"/>
        <v>0</v>
      </c>
      <c r="P80" s="712">
        <f t="shared" si="21"/>
        <v>0</v>
      </c>
      <c r="Q80" s="714">
        <f t="shared" si="21"/>
        <v>0</v>
      </c>
      <c r="R80" s="713">
        <f t="shared" si="21"/>
        <v>0</v>
      </c>
      <c r="S80" s="713">
        <f t="shared" si="21"/>
        <v>0</v>
      </c>
      <c r="T80" s="712">
        <f t="shared" si="21"/>
        <v>0</v>
      </c>
      <c r="U80" s="528">
        <f t="shared" si="21"/>
        <v>700</v>
      </c>
      <c r="V80" s="528">
        <f t="shared" si="21"/>
        <v>442</v>
      </c>
    </row>
    <row r="81" spans="1:22" ht="15" customHeight="1">
      <c r="A81" s="1133" t="s">
        <v>8</v>
      </c>
      <c r="B81" s="1185" t="s">
        <v>8</v>
      </c>
      <c r="C81" s="1110" t="s">
        <v>38</v>
      </c>
      <c r="D81" s="1188" t="s">
        <v>256</v>
      </c>
      <c r="E81" s="1147"/>
      <c r="F81" s="1119" t="s">
        <v>12</v>
      </c>
      <c r="G81" s="1129" t="s">
        <v>144</v>
      </c>
      <c r="H81" s="544" t="s">
        <v>53</v>
      </c>
      <c r="I81" s="165">
        <f>J81+L81</f>
        <v>0</v>
      </c>
      <c r="J81" s="162"/>
      <c r="K81" s="162"/>
      <c r="L81" s="163"/>
      <c r="M81" s="165">
        <f>N81+P81</f>
        <v>370.4</v>
      </c>
      <c r="N81" s="166"/>
      <c r="O81" s="261"/>
      <c r="P81" s="261">
        <v>370.4</v>
      </c>
      <c r="Q81" s="374">
        <f>R81+T81</f>
        <v>370.4</v>
      </c>
      <c r="R81" s="381"/>
      <c r="S81" s="381"/>
      <c r="T81" s="376">
        <v>370.4</v>
      </c>
      <c r="U81" s="189">
        <v>4000</v>
      </c>
      <c r="V81" s="189">
        <v>2000</v>
      </c>
    </row>
    <row r="82" spans="1:22" ht="15" customHeight="1">
      <c r="A82" s="1134"/>
      <c r="B82" s="1186"/>
      <c r="C82" s="1111"/>
      <c r="D82" s="1189"/>
      <c r="E82" s="1148"/>
      <c r="F82" s="1150"/>
      <c r="G82" s="1151"/>
      <c r="H82" s="535"/>
      <c r="I82" s="545">
        <f>J82+L82</f>
        <v>0</v>
      </c>
      <c r="J82" s="263"/>
      <c r="K82" s="200"/>
      <c r="L82" s="172"/>
      <c r="M82" s="545">
        <f>N82+P82</f>
        <v>0</v>
      </c>
      <c r="N82" s="546"/>
      <c r="O82" s="547"/>
      <c r="P82" s="547"/>
      <c r="Q82" s="426">
        <f>R82+T82</f>
        <v>0</v>
      </c>
      <c r="R82" s="668"/>
      <c r="S82" s="669"/>
      <c r="T82" s="397"/>
      <c r="U82" s="191"/>
      <c r="V82" s="191"/>
    </row>
    <row r="83" spans="1:22" ht="15" customHeight="1" thickBot="1">
      <c r="A83" s="1135"/>
      <c r="B83" s="1187"/>
      <c r="C83" s="1112"/>
      <c r="D83" s="1190"/>
      <c r="E83" s="1149"/>
      <c r="F83" s="1122"/>
      <c r="G83" s="1132"/>
      <c r="H83" s="698" t="s">
        <v>20</v>
      </c>
      <c r="I83" s="367">
        <f aca="true" t="shared" si="22" ref="I83:V83">SUM(I81:I82)</f>
        <v>0</v>
      </c>
      <c r="J83" s="368">
        <f t="shared" si="22"/>
        <v>0</v>
      </c>
      <c r="K83" s="448">
        <f t="shared" si="22"/>
        <v>0</v>
      </c>
      <c r="L83" s="370">
        <f t="shared" si="22"/>
        <v>0</v>
      </c>
      <c r="M83" s="367">
        <f t="shared" si="22"/>
        <v>370.4</v>
      </c>
      <c r="N83" s="368">
        <f t="shared" si="22"/>
        <v>0</v>
      </c>
      <c r="O83" s="448">
        <f t="shared" si="22"/>
        <v>0</v>
      </c>
      <c r="P83" s="370">
        <f t="shared" si="22"/>
        <v>370.4</v>
      </c>
      <c r="Q83" s="367">
        <f t="shared" si="22"/>
        <v>370.4</v>
      </c>
      <c r="R83" s="368">
        <f t="shared" si="22"/>
        <v>0</v>
      </c>
      <c r="S83" s="448">
        <f t="shared" si="22"/>
        <v>0</v>
      </c>
      <c r="T83" s="370">
        <f t="shared" si="22"/>
        <v>370.4</v>
      </c>
      <c r="U83" s="372">
        <f t="shared" si="22"/>
        <v>4000</v>
      </c>
      <c r="V83" s="372">
        <f t="shared" si="22"/>
        <v>2000</v>
      </c>
    </row>
    <row r="84" spans="1:22" ht="15" customHeight="1">
      <c r="A84" s="1133" t="s">
        <v>8</v>
      </c>
      <c r="B84" s="1107" t="s">
        <v>8</v>
      </c>
      <c r="C84" s="1136" t="s">
        <v>13</v>
      </c>
      <c r="D84" s="1139" t="s">
        <v>26</v>
      </c>
      <c r="E84" s="548" t="s">
        <v>22</v>
      </c>
      <c r="F84" s="1119" t="s">
        <v>12</v>
      </c>
      <c r="G84" s="1129" t="s">
        <v>144</v>
      </c>
      <c r="H84" s="542" t="s">
        <v>11</v>
      </c>
      <c r="I84" s="170">
        <f>J84+L84</f>
        <v>4.2</v>
      </c>
      <c r="J84" s="196"/>
      <c r="K84" s="196"/>
      <c r="L84" s="197">
        <v>4.2</v>
      </c>
      <c r="M84" s="170">
        <f>N84+P84</f>
        <v>0</v>
      </c>
      <c r="N84" s="193"/>
      <c r="O84" s="193"/>
      <c r="P84" s="194"/>
      <c r="Q84" s="377">
        <f>R84+T84</f>
        <v>0</v>
      </c>
      <c r="R84" s="375"/>
      <c r="S84" s="375"/>
      <c r="T84" s="376"/>
      <c r="U84" s="520"/>
      <c r="V84" s="520"/>
    </row>
    <row r="85" spans="1:22" ht="15" customHeight="1">
      <c r="A85" s="1134"/>
      <c r="B85" s="1108"/>
      <c r="C85" s="1137"/>
      <c r="D85" s="1140"/>
      <c r="E85" s="549"/>
      <c r="F85" s="1120"/>
      <c r="G85" s="1130"/>
      <c r="H85" s="542" t="s">
        <v>234</v>
      </c>
      <c r="I85" s="170">
        <f>J85+L85</f>
        <v>0</v>
      </c>
      <c r="J85" s="196"/>
      <c r="K85" s="196"/>
      <c r="L85" s="197"/>
      <c r="M85" s="170">
        <f>N85+P85</f>
        <v>451.4</v>
      </c>
      <c r="N85" s="193"/>
      <c r="O85" s="193"/>
      <c r="P85" s="194">
        <v>451.4</v>
      </c>
      <c r="Q85" s="377">
        <f>R85+T85</f>
        <v>451.4</v>
      </c>
      <c r="R85" s="378"/>
      <c r="S85" s="378"/>
      <c r="T85" s="379">
        <v>451.4</v>
      </c>
      <c r="U85" s="520">
        <v>451.3</v>
      </c>
      <c r="V85" s="520"/>
    </row>
    <row r="86" spans="1:22" ht="15" customHeight="1">
      <c r="A86" s="1134"/>
      <c r="B86" s="1108"/>
      <c r="C86" s="1137"/>
      <c r="D86" s="1140"/>
      <c r="E86" s="1104" t="s">
        <v>141</v>
      </c>
      <c r="F86" s="1120"/>
      <c r="G86" s="1130"/>
      <c r="H86" s="542" t="s">
        <v>18</v>
      </c>
      <c r="I86" s="170">
        <f>J86+L86</f>
        <v>2762.8</v>
      </c>
      <c r="J86" s="196"/>
      <c r="K86" s="196"/>
      <c r="L86" s="197">
        <v>2762.8</v>
      </c>
      <c r="M86" s="170">
        <f>N86+P86</f>
        <v>3743.2</v>
      </c>
      <c r="N86" s="193"/>
      <c r="O86" s="193"/>
      <c r="P86" s="194">
        <v>3743.2</v>
      </c>
      <c r="Q86" s="377">
        <f>R86+T86</f>
        <v>3743.2</v>
      </c>
      <c r="R86" s="392"/>
      <c r="S86" s="392"/>
      <c r="T86" s="393">
        <v>3743.2</v>
      </c>
      <c r="U86" s="520">
        <v>3743.2</v>
      </c>
      <c r="V86" s="520"/>
    </row>
    <row r="87" spans="1:22" ht="15" customHeight="1">
      <c r="A87" s="1134"/>
      <c r="B87" s="1108"/>
      <c r="C87" s="1137"/>
      <c r="D87" s="1140"/>
      <c r="E87" s="1179"/>
      <c r="F87" s="1121"/>
      <c r="G87" s="1131"/>
      <c r="H87" s="515" t="s">
        <v>110</v>
      </c>
      <c r="I87" s="170">
        <f>J87+L87</f>
        <v>0</v>
      </c>
      <c r="J87" s="196"/>
      <c r="K87" s="196"/>
      <c r="L87" s="197"/>
      <c r="M87" s="170">
        <f>N87+P87</f>
        <v>462.4</v>
      </c>
      <c r="N87" s="193"/>
      <c r="O87" s="193"/>
      <c r="P87" s="194">
        <v>462.4</v>
      </c>
      <c r="Q87" s="377">
        <f>R87+T87</f>
        <v>462.4</v>
      </c>
      <c r="R87" s="392"/>
      <c r="S87" s="392"/>
      <c r="T87" s="393">
        <v>462.4</v>
      </c>
      <c r="U87" s="520">
        <v>462.4</v>
      </c>
      <c r="V87" s="520"/>
    </row>
    <row r="88" spans="1:22" ht="15" customHeight="1" thickBot="1">
      <c r="A88" s="1135"/>
      <c r="B88" s="1109"/>
      <c r="C88" s="1138"/>
      <c r="D88" s="1141"/>
      <c r="E88" s="1180"/>
      <c r="F88" s="1122"/>
      <c r="G88" s="1132"/>
      <c r="H88" s="698" t="s">
        <v>20</v>
      </c>
      <c r="I88" s="367">
        <f aca="true" t="shared" si="23" ref="I88:V88">SUM(I84:I87)</f>
        <v>2767</v>
      </c>
      <c r="J88" s="368">
        <f t="shared" si="23"/>
        <v>0</v>
      </c>
      <c r="K88" s="448">
        <f t="shared" si="23"/>
        <v>0</v>
      </c>
      <c r="L88" s="370">
        <f t="shared" si="23"/>
        <v>2767</v>
      </c>
      <c r="M88" s="367">
        <f t="shared" si="23"/>
        <v>4656.999999999999</v>
      </c>
      <c r="N88" s="368">
        <f t="shared" si="23"/>
        <v>0</v>
      </c>
      <c r="O88" s="448">
        <f t="shared" si="23"/>
        <v>0</v>
      </c>
      <c r="P88" s="370">
        <f t="shared" si="23"/>
        <v>4656.999999999999</v>
      </c>
      <c r="Q88" s="367">
        <f t="shared" si="23"/>
        <v>4656.999999999999</v>
      </c>
      <c r="R88" s="368">
        <f t="shared" si="23"/>
        <v>0</v>
      </c>
      <c r="S88" s="448">
        <f t="shared" si="23"/>
        <v>0</v>
      </c>
      <c r="T88" s="370">
        <f t="shared" si="23"/>
        <v>4656.999999999999</v>
      </c>
      <c r="U88" s="372">
        <f t="shared" si="23"/>
        <v>4656.9</v>
      </c>
      <c r="V88" s="372">
        <f t="shared" si="23"/>
        <v>0</v>
      </c>
    </row>
    <row r="89" spans="1:22" ht="18" customHeight="1" thickBot="1">
      <c r="A89" s="1098" t="s">
        <v>8</v>
      </c>
      <c r="B89" s="1099" t="s">
        <v>8</v>
      </c>
      <c r="C89" s="1100" t="s">
        <v>14</v>
      </c>
      <c r="D89" s="1191" t="s">
        <v>131</v>
      </c>
      <c r="E89" s="514" t="s">
        <v>22</v>
      </c>
      <c r="F89" s="1102" t="s">
        <v>12</v>
      </c>
      <c r="G89" s="1103" t="s">
        <v>144</v>
      </c>
      <c r="H89" s="542" t="s">
        <v>30</v>
      </c>
      <c r="I89" s="178">
        <f>J89+L89</f>
        <v>0</v>
      </c>
      <c r="J89" s="179"/>
      <c r="K89" s="179"/>
      <c r="L89" s="180"/>
      <c r="M89" s="178">
        <f>N89+P89</f>
        <v>0</v>
      </c>
      <c r="N89" s="204"/>
      <c r="O89" s="204"/>
      <c r="P89" s="306"/>
      <c r="Q89" s="380">
        <f>R89+T89</f>
        <v>0</v>
      </c>
      <c r="R89" s="378"/>
      <c r="S89" s="378"/>
      <c r="T89" s="379"/>
      <c r="U89" s="203">
        <v>227.9</v>
      </c>
      <c r="V89" s="203">
        <v>186.4</v>
      </c>
    </row>
    <row r="90" spans="1:22" ht="18" customHeight="1" thickBot="1">
      <c r="A90" s="1098"/>
      <c r="B90" s="1099"/>
      <c r="C90" s="1100"/>
      <c r="D90" s="1192"/>
      <c r="E90" s="516"/>
      <c r="F90" s="1102"/>
      <c r="G90" s="1103"/>
      <c r="H90" s="550" t="s">
        <v>18</v>
      </c>
      <c r="I90" s="545">
        <f>J90+L90</f>
        <v>0</v>
      </c>
      <c r="J90" s="171"/>
      <c r="K90" s="171"/>
      <c r="L90" s="172"/>
      <c r="M90" s="545">
        <f>N90+P90</f>
        <v>932.3</v>
      </c>
      <c r="N90" s="551"/>
      <c r="O90" s="551"/>
      <c r="P90" s="200">
        <v>932.3</v>
      </c>
      <c r="Q90" s="426">
        <f>R90+T90</f>
        <v>932.3</v>
      </c>
      <c r="R90" s="396"/>
      <c r="S90" s="396"/>
      <c r="T90" s="397">
        <v>932.3</v>
      </c>
      <c r="U90" s="552">
        <v>2050.9</v>
      </c>
      <c r="V90" s="552">
        <v>745.9</v>
      </c>
    </row>
    <row r="91" spans="1:22" ht="15" customHeight="1" thickBot="1">
      <c r="A91" s="1098"/>
      <c r="B91" s="1099"/>
      <c r="C91" s="1100"/>
      <c r="D91" s="553" t="s">
        <v>257</v>
      </c>
      <c r="E91" s="1193" t="s">
        <v>140</v>
      </c>
      <c r="F91" s="1102"/>
      <c r="G91" s="1103"/>
      <c r="H91" s="554"/>
      <c r="I91" s="522"/>
      <c r="J91" s="523"/>
      <c r="K91" s="523"/>
      <c r="L91" s="524"/>
      <c r="M91" s="555"/>
      <c r="N91" s="523"/>
      <c r="O91" s="523"/>
      <c r="P91" s="526"/>
      <c r="Q91" s="659"/>
      <c r="R91" s="654"/>
      <c r="S91" s="654"/>
      <c r="T91" s="660"/>
      <c r="U91" s="527"/>
      <c r="V91" s="527"/>
    </row>
    <row r="92" spans="1:22" ht="15" customHeight="1" thickBot="1">
      <c r="A92" s="1098"/>
      <c r="B92" s="1099"/>
      <c r="C92" s="1100"/>
      <c r="D92" s="553" t="s">
        <v>258</v>
      </c>
      <c r="E92" s="1194"/>
      <c r="F92" s="1102"/>
      <c r="G92" s="1103"/>
      <c r="H92" s="550"/>
      <c r="I92" s="556"/>
      <c r="J92" s="200"/>
      <c r="K92" s="200"/>
      <c r="L92" s="172"/>
      <c r="M92" s="263"/>
      <c r="N92" s="200"/>
      <c r="O92" s="200"/>
      <c r="P92" s="200"/>
      <c r="Q92" s="670"/>
      <c r="R92" s="669"/>
      <c r="S92" s="669"/>
      <c r="T92" s="397"/>
      <c r="U92" s="552"/>
      <c r="V92" s="552"/>
    </row>
    <row r="93" spans="1:22" ht="15" customHeight="1" thickBot="1">
      <c r="A93" s="1098"/>
      <c r="B93" s="1099"/>
      <c r="C93" s="1100"/>
      <c r="D93" s="1196" t="s">
        <v>150</v>
      </c>
      <c r="E93" s="1194"/>
      <c r="F93" s="1102"/>
      <c r="G93" s="1103"/>
      <c r="H93" s="510"/>
      <c r="I93" s="556"/>
      <c r="J93" s="200"/>
      <c r="K93" s="200"/>
      <c r="L93" s="172"/>
      <c r="M93" s="263"/>
      <c r="N93" s="200"/>
      <c r="O93" s="200"/>
      <c r="P93" s="200"/>
      <c r="Q93" s="670"/>
      <c r="R93" s="669"/>
      <c r="S93" s="669"/>
      <c r="T93" s="397"/>
      <c r="U93" s="552"/>
      <c r="V93" s="552"/>
    </row>
    <row r="94" spans="1:22" ht="20.25" customHeight="1" thickBot="1">
      <c r="A94" s="1098"/>
      <c r="B94" s="1099"/>
      <c r="C94" s="1100"/>
      <c r="D94" s="1197"/>
      <c r="E94" s="1195"/>
      <c r="F94" s="1102"/>
      <c r="G94" s="1103"/>
      <c r="H94" s="698" t="s">
        <v>20</v>
      </c>
      <c r="I94" s="385">
        <f aca="true" t="shared" si="24" ref="I94:V94">SUM(I89:I93)</f>
        <v>0</v>
      </c>
      <c r="J94" s="448">
        <f t="shared" si="24"/>
        <v>0</v>
      </c>
      <c r="K94" s="448">
        <f t="shared" si="24"/>
        <v>0</v>
      </c>
      <c r="L94" s="370">
        <f t="shared" si="24"/>
        <v>0</v>
      </c>
      <c r="M94" s="385">
        <f t="shared" si="24"/>
        <v>932.3</v>
      </c>
      <c r="N94" s="448">
        <f t="shared" si="24"/>
        <v>0</v>
      </c>
      <c r="O94" s="448">
        <f t="shared" si="24"/>
        <v>0</v>
      </c>
      <c r="P94" s="370">
        <f t="shared" si="24"/>
        <v>932.3</v>
      </c>
      <c r="Q94" s="385">
        <f t="shared" si="24"/>
        <v>932.3</v>
      </c>
      <c r="R94" s="448">
        <f t="shared" si="24"/>
        <v>0</v>
      </c>
      <c r="S94" s="448">
        <f t="shared" si="24"/>
        <v>0</v>
      </c>
      <c r="T94" s="370">
        <f t="shared" si="24"/>
        <v>932.3</v>
      </c>
      <c r="U94" s="372">
        <f t="shared" si="24"/>
        <v>2278.8</v>
      </c>
      <c r="V94" s="372">
        <f t="shared" si="24"/>
        <v>932.3</v>
      </c>
    </row>
    <row r="95" spans="1:22" ht="15" customHeight="1">
      <c r="A95" s="1133" t="s">
        <v>8</v>
      </c>
      <c r="B95" s="1107" t="s">
        <v>38</v>
      </c>
      <c r="C95" s="1110" t="s">
        <v>15</v>
      </c>
      <c r="D95" s="1198" t="s">
        <v>56</v>
      </c>
      <c r="E95" s="1201"/>
      <c r="F95" s="1204" t="s">
        <v>12</v>
      </c>
      <c r="G95" s="1207" t="s">
        <v>144</v>
      </c>
      <c r="H95" s="557" t="s">
        <v>11</v>
      </c>
      <c r="I95" s="208">
        <f>J95+L95</f>
        <v>59.9</v>
      </c>
      <c r="J95" s="209"/>
      <c r="K95" s="209"/>
      <c r="L95" s="210">
        <v>59.9</v>
      </c>
      <c r="M95" s="208">
        <f>N95+P95</f>
        <v>41.4</v>
      </c>
      <c r="N95" s="209"/>
      <c r="O95" s="209"/>
      <c r="P95" s="210">
        <v>41.4</v>
      </c>
      <c r="Q95" s="671">
        <f>R95+T95</f>
        <v>41.4</v>
      </c>
      <c r="R95" s="672"/>
      <c r="S95" s="672"/>
      <c r="T95" s="673">
        <v>41.4</v>
      </c>
      <c r="U95" s="211">
        <v>60</v>
      </c>
      <c r="V95" s="212">
        <v>60</v>
      </c>
    </row>
    <row r="96" spans="1:22" ht="15" customHeight="1">
      <c r="A96" s="1134"/>
      <c r="B96" s="1108"/>
      <c r="C96" s="1111"/>
      <c r="D96" s="1199"/>
      <c r="E96" s="1202"/>
      <c r="F96" s="1205"/>
      <c r="G96" s="1208"/>
      <c r="H96" s="558" t="s">
        <v>53</v>
      </c>
      <c r="I96" s="213">
        <f>J96+L96</f>
        <v>0</v>
      </c>
      <c r="J96" s="214"/>
      <c r="K96" s="214"/>
      <c r="L96" s="215">
        <v>0</v>
      </c>
      <c r="M96" s="213">
        <f>N96+P96</f>
        <v>0</v>
      </c>
      <c r="N96" s="214"/>
      <c r="O96" s="214"/>
      <c r="P96" s="215"/>
      <c r="Q96" s="674">
        <f>R96+T96</f>
        <v>0</v>
      </c>
      <c r="R96" s="675"/>
      <c r="S96" s="675"/>
      <c r="T96" s="676"/>
      <c r="U96" s="216"/>
      <c r="V96" s="217"/>
    </row>
    <row r="97" spans="1:22" ht="15" customHeight="1" thickBot="1">
      <c r="A97" s="1135"/>
      <c r="B97" s="1109"/>
      <c r="C97" s="1112"/>
      <c r="D97" s="1200"/>
      <c r="E97" s="1203"/>
      <c r="F97" s="1206"/>
      <c r="G97" s="1209"/>
      <c r="H97" s="662" t="s">
        <v>20</v>
      </c>
      <c r="I97" s="437">
        <f aca="true" t="shared" si="25" ref="I97:V97">SUM(I95:I96)</f>
        <v>59.9</v>
      </c>
      <c r="J97" s="438">
        <f t="shared" si="25"/>
        <v>0</v>
      </c>
      <c r="K97" s="439">
        <f t="shared" si="25"/>
        <v>0</v>
      </c>
      <c r="L97" s="440">
        <f t="shared" si="25"/>
        <v>59.9</v>
      </c>
      <c r="M97" s="437">
        <f t="shared" si="25"/>
        <v>41.4</v>
      </c>
      <c r="N97" s="438">
        <f t="shared" si="25"/>
        <v>0</v>
      </c>
      <c r="O97" s="439">
        <f t="shared" si="25"/>
        <v>0</v>
      </c>
      <c r="P97" s="440">
        <f t="shared" si="25"/>
        <v>41.4</v>
      </c>
      <c r="Q97" s="437">
        <f t="shared" si="25"/>
        <v>41.4</v>
      </c>
      <c r="R97" s="438">
        <f t="shared" si="25"/>
        <v>0</v>
      </c>
      <c r="S97" s="439">
        <f t="shared" si="25"/>
        <v>0</v>
      </c>
      <c r="T97" s="440">
        <f t="shared" si="25"/>
        <v>41.4</v>
      </c>
      <c r="U97" s="445">
        <f t="shared" si="25"/>
        <v>60</v>
      </c>
      <c r="V97" s="446">
        <f t="shared" si="25"/>
        <v>60</v>
      </c>
    </row>
    <row r="98" spans="1:22" ht="15" customHeight="1">
      <c r="A98" s="1155" t="s">
        <v>8</v>
      </c>
      <c r="B98" s="1157" t="s">
        <v>8</v>
      </c>
      <c r="C98" s="1210" t="s">
        <v>39</v>
      </c>
      <c r="D98" s="1213" t="s">
        <v>50</v>
      </c>
      <c r="E98" s="559" t="s">
        <v>22</v>
      </c>
      <c r="F98" s="1216" t="s">
        <v>12</v>
      </c>
      <c r="G98" s="1219">
        <v>5</v>
      </c>
      <c r="H98" s="544" t="s">
        <v>11</v>
      </c>
      <c r="I98" s="184">
        <f>J98+L98</f>
        <v>15.2</v>
      </c>
      <c r="J98" s="162">
        <v>15.2</v>
      </c>
      <c r="K98" s="162"/>
      <c r="L98" s="163"/>
      <c r="M98" s="184">
        <f>N98+P98</f>
        <v>0</v>
      </c>
      <c r="N98" s="162"/>
      <c r="O98" s="162"/>
      <c r="P98" s="163"/>
      <c r="Q98" s="394">
        <f>R98+T98</f>
        <v>0</v>
      </c>
      <c r="R98" s="375"/>
      <c r="S98" s="375"/>
      <c r="T98" s="376"/>
      <c r="U98" s="169"/>
      <c r="V98" s="169"/>
    </row>
    <row r="99" spans="1:22" ht="15" customHeight="1">
      <c r="A99" s="1134"/>
      <c r="B99" s="1108"/>
      <c r="C99" s="1211"/>
      <c r="D99" s="1214"/>
      <c r="E99" s="1222" t="s">
        <v>137</v>
      </c>
      <c r="F99" s="1217"/>
      <c r="G99" s="1220"/>
      <c r="H99" s="560" t="s">
        <v>18</v>
      </c>
      <c r="I99" s="185">
        <f>J99+L99</f>
        <v>0</v>
      </c>
      <c r="J99" s="171"/>
      <c r="K99" s="171"/>
      <c r="L99" s="172"/>
      <c r="M99" s="185">
        <f>N99+P99</f>
        <v>0</v>
      </c>
      <c r="N99" s="171"/>
      <c r="O99" s="171"/>
      <c r="P99" s="172"/>
      <c r="Q99" s="395">
        <f>R99+T99</f>
        <v>0</v>
      </c>
      <c r="R99" s="396"/>
      <c r="S99" s="396"/>
      <c r="T99" s="397"/>
      <c r="U99" s="173"/>
      <c r="V99" s="173"/>
    </row>
    <row r="100" spans="1:22" ht="15" customHeight="1">
      <c r="A100" s="1134"/>
      <c r="B100" s="1108"/>
      <c r="C100" s="1211"/>
      <c r="D100" s="1214"/>
      <c r="E100" s="1223"/>
      <c r="F100" s="1217"/>
      <c r="G100" s="1220"/>
      <c r="H100" s="560" t="s">
        <v>30</v>
      </c>
      <c r="I100" s="187">
        <f>J100+L100</f>
        <v>0</v>
      </c>
      <c r="J100" s="196"/>
      <c r="K100" s="196"/>
      <c r="L100" s="197"/>
      <c r="M100" s="187">
        <f>N100+P100</f>
        <v>0</v>
      </c>
      <c r="N100" s="196"/>
      <c r="O100" s="196"/>
      <c r="P100" s="197"/>
      <c r="Q100" s="398">
        <f>R100+T100</f>
        <v>0</v>
      </c>
      <c r="R100" s="392"/>
      <c r="S100" s="392"/>
      <c r="T100" s="393"/>
      <c r="U100" s="745">
        <v>200</v>
      </c>
      <c r="V100" s="186"/>
    </row>
    <row r="101" spans="1:22" ht="15" customHeight="1" thickBot="1">
      <c r="A101" s="1156"/>
      <c r="B101" s="1158"/>
      <c r="C101" s="1212"/>
      <c r="D101" s="1215"/>
      <c r="E101" s="1224"/>
      <c r="F101" s="1218"/>
      <c r="G101" s="1221"/>
      <c r="H101" s="663" t="s">
        <v>20</v>
      </c>
      <c r="I101" s="664">
        <f aca="true" t="shared" si="26" ref="I101:V101">SUM(I98:I100)</f>
        <v>15.2</v>
      </c>
      <c r="J101" s="665">
        <f t="shared" si="26"/>
        <v>15.2</v>
      </c>
      <c r="K101" s="665">
        <f t="shared" si="26"/>
        <v>0</v>
      </c>
      <c r="L101" s="666">
        <f t="shared" si="26"/>
        <v>0</v>
      </c>
      <c r="M101" s="664">
        <f t="shared" si="26"/>
        <v>0</v>
      </c>
      <c r="N101" s="665">
        <f t="shared" si="26"/>
        <v>0</v>
      </c>
      <c r="O101" s="665">
        <f t="shared" si="26"/>
        <v>0</v>
      </c>
      <c r="P101" s="666">
        <f t="shared" si="26"/>
        <v>0</v>
      </c>
      <c r="Q101" s="664">
        <f t="shared" si="26"/>
        <v>0</v>
      </c>
      <c r="R101" s="665">
        <f t="shared" si="26"/>
        <v>0</v>
      </c>
      <c r="S101" s="665">
        <f t="shared" si="26"/>
        <v>0</v>
      </c>
      <c r="T101" s="666">
        <f t="shared" si="26"/>
        <v>0</v>
      </c>
      <c r="U101" s="667">
        <f t="shared" si="26"/>
        <v>200</v>
      </c>
      <c r="V101" s="667">
        <f t="shared" si="26"/>
        <v>0</v>
      </c>
    </row>
    <row r="102" spans="1:22" ht="15" customHeight="1" thickBot="1">
      <c r="A102" s="1098" t="s">
        <v>8</v>
      </c>
      <c r="B102" s="1099" t="s">
        <v>8</v>
      </c>
      <c r="C102" s="1100" t="s">
        <v>16</v>
      </c>
      <c r="D102" s="1101" t="s">
        <v>152</v>
      </c>
      <c r="E102" s="514" t="s">
        <v>22</v>
      </c>
      <c r="F102" s="1102" t="s">
        <v>12</v>
      </c>
      <c r="G102" s="1103" t="s">
        <v>144</v>
      </c>
      <c r="H102" s="561" t="s">
        <v>234</v>
      </c>
      <c r="I102" s="165">
        <f>J102+L102</f>
        <v>265.8</v>
      </c>
      <c r="J102" s="162"/>
      <c r="K102" s="162"/>
      <c r="L102" s="163">
        <v>265.8</v>
      </c>
      <c r="M102" s="165">
        <f>N102+P102</f>
        <v>0</v>
      </c>
      <c r="N102" s="166"/>
      <c r="O102" s="166"/>
      <c r="P102" s="199"/>
      <c r="Q102" s="374">
        <f>R102+T102</f>
        <v>0</v>
      </c>
      <c r="R102" s="375"/>
      <c r="S102" s="375"/>
      <c r="T102" s="381"/>
      <c r="U102" s="195"/>
      <c r="V102" s="195"/>
    </row>
    <row r="103" spans="1:22" ht="15" customHeight="1" thickBot="1">
      <c r="A103" s="1098"/>
      <c r="B103" s="1099"/>
      <c r="C103" s="1100"/>
      <c r="D103" s="1101"/>
      <c r="E103" s="1193" t="s">
        <v>142</v>
      </c>
      <c r="F103" s="1102"/>
      <c r="G103" s="1103"/>
      <c r="H103" s="560" t="s">
        <v>53</v>
      </c>
      <c r="I103" s="170">
        <f>J103+L103</f>
        <v>0</v>
      </c>
      <c r="J103" s="196"/>
      <c r="K103" s="196"/>
      <c r="L103" s="197"/>
      <c r="M103" s="170">
        <f>N103+P103</f>
        <v>0</v>
      </c>
      <c r="N103" s="196"/>
      <c r="O103" s="196"/>
      <c r="P103" s="262"/>
      <c r="Q103" s="377">
        <f>R103+T103</f>
        <v>0</v>
      </c>
      <c r="R103" s="392"/>
      <c r="S103" s="392"/>
      <c r="T103" s="677"/>
      <c r="U103" s="198"/>
      <c r="V103" s="198"/>
    </row>
    <row r="104" spans="1:22" ht="15" customHeight="1" thickBot="1">
      <c r="A104" s="1098"/>
      <c r="B104" s="1099"/>
      <c r="C104" s="1100"/>
      <c r="D104" s="1101"/>
      <c r="E104" s="1194"/>
      <c r="F104" s="1102"/>
      <c r="G104" s="1103"/>
      <c r="H104" s="562" t="s">
        <v>110</v>
      </c>
      <c r="I104" s="563">
        <f>J104+L104</f>
        <v>288.9</v>
      </c>
      <c r="J104" s="526"/>
      <c r="K104" s="526"/>
      <c r="L104" s="524">
        <v>288.9</v>
      </c>
      <c r="M104" s="563">
        <f>N104+P104</f>
        <v>0</v>
      </c>
      <c r="N104" s="526"/>
      <c r="O104" s="526"/>
      <c r="P104" s="526"/>
      <c r="Q104" s="678">
        <f>R104+T104</f>
        <v>13.2</v>
      </c>
      <c r="R104" s="661"/>
      <c r="S104" s="661"/>
      <c r="T104" s="661">
        <v>13.2</v>
      </c>
      <c r="U104" s="527"/>
      <c r="V104" s="527"/>
    </row>
    <row r="105" spans="1:22" ht="15" customHeight="1" thickBot="1">
      <c r="A105" s="1098"/>
      <c r="B105" s="1099"/>
      <c r="C105" s="1100"/>
      <c r="D105" s="1101"/>
      <c r="E105" s="1194"/>
      <c r="F105" s="1102"/>
      <c r="G105" s="1103"/>
      <c r="H105" s="560" t="s">
        <v>18</v>
      </c>
      <c r="I105" s="563">
        <f>J105+L105</f>
        <v>2337.1</v>
      </c>
      <c r="J105" s="526"/>
      <c r="K105" s="526"/>
      <c r="L105" s="524">
        <v>2337.1</v>
      </c>
      <c r="M105" s="563">
        <f>N105+P105</f>
        <v>0</v>
      </c>
      <c r="N105" s="526"/>
      <c r="O105" s="526"/>
      <c r="P105" s="526"/>
      <c r="Q105" s="678">
        <f>R105+T105</f>
        <v>107.1</v>
      </c>
      <c r="R105" s="661"/>
      <c r="S105" s="661"/>
      <c r="T105" s="661">
        <v>107.1</v>
      </c>
      <c r="U105" s="527"/>
      <c r="V105" s="527"/>
    </row>
    <row r="106" spans="1:22" ht="15" customHeight="1" thickBot="1">
      <c r="A106" s="1098"/>
      <c r="B106" s="1099"/>
      <c r="C106" s="1100"/>
      <c r="D106" s="1101"/>
      <c r="E106" s="1195"/>
      <c r="F106" s="1102"/>
      <c r="G106" s="1103"/>
      <c r="H106" s="698" t="s">
        <v>20</v>
      </c>
      <c r="I106" s="385">
        <f aca="true" t="shared" si="27" ref="I106:V106">SUM(I102:I105)</f>
        <v>2891.8</v>
      </c>
      <c r="J106" s="369">
        <f t="shared" si="27"/>
        <v>0</v>
      </c>
      <c r="K106" s="384">
        <f t="shared" si="27"/>
        <v>0</v>
      </c>
      <c r="L106" s="368">
        <f t="shared" si="27"/>
        <v>2891.8</v>
      </c>
      <c r="M106" s="385">
        <f t="shared" si="27"/>
        <v>0</v>
      </c>
      <c r="N106" s="369">
        <f t="shared" si="27"/>
        <v>0</v>
      </c>
      <c r="O106" s="384">
        <f t="shared" si="27"/>
        <v>0</v>
      </c>
      <c r="P106" s="368">
        <f t="shared" si="27"/>
        <v>0</v>
      </c>
      <c r="Q106" s="385">
        <f t="shared" si="27"/>
        <v>120.3</v>
      </c>
      <c r="R106" s="369">
        <f t="shared" si="27"/>
        <v>0</v>
      </c>
      <c r="S106" s="384">
        <f t="shared" si="27"/>
        <v>0</v>
      </c>
      <c r="T106" s="368">
        <f t="shared" si="27"/>
        <v>120.3</v>
      </c>
      <c r="U106" s="372">
        <f t="shared" si="27"/>
        <v>0</v>
      </c>
      <c r="V106" s="372">
        <f t="shared" si="27"/>
        <v>0</v>
      </c>
    </row>
    <row r="107" spans="1:22" ht="15" customHeight="1" thickBot="1">
      <c r="A107" s="1098" t="s">
        <v>8</v>
      </c>
      <c r="B107" s="1099" t="s">
        <v>8</v>
      </c>
      <c r="C107" s="1100" t="s">
        <v>52</v>
      </c>
      <c r="D107" s="1101" t="s">
        <v>153</v>
      </c>
      <c r="E107" s="1147" t="s">
        <v>22</v>
      </c>
      <c r="F107" s="1102" t="s">
        <v>12</v>
      </c>
      <c r="G107" s="1103" t="s">
        <v>144</v>
      </c>
      <c r="H107" s="542" t="s">
        <v>234</v>
      </c>
      <c r="I107" s="165">
        <f>J107+L107</f>
        <v>133.3</v>
      </c>
      <c r="J107" s="179"/>
      <c r="K107" s="179"/>
      <c r="L107" s="180">
        <v>133.3</v>
      </c>
      <c r="M107" s="165">
        <f>N107+P107</f>
        <v>0</v>
      </c>
      <c r="N107" s="204"/>
      <c r="O107" s="204"/>
      <c r="P107" s="306"/>
      <c r="Q107" s="374">
        <f>R107+T107</f>
        <v>0</v>
      </c>
      <c r="R107" s="375"/>
      <c r="S107" s="375"/>
      <c r="T107" s="381"/>
      <c r="U107" s="195"/>
      <c r="V107" s="203"/>
    </row>
    <row r="108" spans="1:22" ht="15" customHeight="1" thickBot="1">
      <c r="A108" s="1098"/>
      <c r="B108" s="1099"/>
      <c r="C108" s="1100"/>
      <c r="D108" s="1101"/>
      <c r="E108" s="1170"/>
      <c r="F108" s="1102"/>
      <c r="G108" s="1103"/>
      <c r="H108" s="542" t="s">
        <v>11</v>
      </c>
      <c r="I108" s="170">
        <f>J108+L108</f>
        <v>1.4</v>
      </c>
      <c r="J108" s="179">
        <v>1.4</v>
      </c>
      <c r="K108" s="179"/>
      <c r="L108" s="180"/>
      <c r="M108" s="170">
        <f>N108+P108</f>
        <v>0</v>
      </c>
      <c r="N108" s="204"/>
      <c r="O108" s="204"/>
      <c r="P108" s="306"/>
      <c r="Q108" s="377">
        <f>R108+T108</f>
        <v>0</v>
      </c>
      <c r="R108" s="378"/>
      <c r="S108" s="378"/>
      <c r="T108" s="382"/>
      <c r="U108" s="203"/>
      <c r="V108" s="203"/>
    </row>
    <row r="109" spans="1:22" ht="15" customHeight="1" thickBot="1">
      <c r="A109" s="1098"/>
      <c r="B109" s="1099"/>
      <c r="C109" s="1100"/>
      <c r="D109" s="1101"/>
      <c r="E109" s="1193" t="s">
        <v>142</v>
      </c>
      <c r="F109" s="1102"/>
      <c r="G109" s="1103"/>
      <c r="H109" s="560" t="s">
        <v>110</v>
      </c>
      <c r="I109" s="563">
        <f>J109+L109</f>
        <v>218</v>
      </c>
      <c r="J109" s="196"/>
      <c r="K109" s="196"/>
      <c r="L109" s="197">
        <v>218</v>
      </c>
      <c r="M109" s="563">
        <f>N109+P109</f>
        <v>0</v>
      </c>
      <c r="N109" s="196"/>
      <c r="O109" s="196"/>
      <c r="P109" s="262"/>
      <c r="Q109" s="678">
        <f>R109+T109</f>
        <v>0</v>
      </c>
      <c r="R109" s="392"/>
      <c r="S109" s="392"/>
      <c r="T109" s="677"/>
      <c r="U109" s="198"/>
      <c r="V109" s="198"/>
    </row>
    <row r="110" spans="1:22" ht="15" customHeight="1" thickBot="1">
      <c r="A110" s="1098"/>
      <c r="B110" s="1099"/>
      <c r="C110" s="1100"/>
      <c r="D110" s="1101"/>
      <c r="E110" s="1194"/>
      <c r="F110" s="1102"/>
      <c r="G110" s="1103"/>
      <c r="H110" s="560" t="s">
        <v>18</v>
      </c>
      <c r="I110" s="563">
        <f>J110+L110</f>
        <v>1765</v>
      </c>
      <c r="J110" s="526"/>
      <c r="K110" s="526"/>
      <c r="L110" s="524">
        <v>1765</v>
      </c>
      <c r="M110" s="563">
        <f>N110+P110</f>
        <v>0</v>
      </c>
      <c r="N110" s="526"/>
      <c r="O110" s="526"/>
      <c r="P110" s="526"/>
      <c r="Q110" s="678">
        <f>R110+T110</f>
        <v>0</v>
      </c>
      <c r="R110" s="661"/>
      <c r="S110" s="661"/>
      <c r="T110" s="661"/>
      <c r="U110" s="527"/>
      <c r="V110" s="527"/>
    </row>
    <row r="111" spans="1:22" ht="15" customHeight="1" thickBot="1">
      <c r="A111" s="1098"/>
      <c r="B111" s="1099"/>
      <c r="C111" s="1100"/>
      <c r="D111" s="1101"/>
      <c r="E111" s="1195"/>
      <c r="F111" s="1102"/>
      <c r="G111" s="1103"/>
      <c r="H111" s="698" t="s">
        <v>20</v>
      </c>
      <c r="I111" s="385">
        <f aca="true" t="shared" si="28" ref="I111:V111">SUM(I107:I110)</f>
        <v>2117.7</v>
      </c>
      <c r="J111" s="369">
        <f t="shared" si="28"/>
        <v>1.4</v>
      </c>
      <c r="K111" s="384">
        <f t="shared" si="28"/>
        <v>0</v>
      </c>
      <c r="L111" s="368">
        <f t="shared" si="28"/>
        <v>2116.3</v>
      </c>
      <c r="M111" s="385">
        <f t="shared" si="28"/>
        <v>0</v>
      </c>
      <c r="N111" s="369">
        <f t="shared" si="28"/>
        <v>0</v>
      </c>
      <c r="O111" s="384">
        <f t="shared" si="28"/>
        <v>0</v>
      </c>
      <c r="P111" s="368">
        <f t="shared" si="28"/>
        <v>0</v>
      </c>
      <c r="Q111" s="385">
        <f t="shared" si="28"/>
        <v>0</v>
      </c>
      <c r="R111" s="369">
        <f t="shared" si="28"/>
        <v>0</v>
      </c>
      <c r="S111" s="384">
        <f t="shared" si="28"/>
        <v>0</v>
      </c>
      <c r="T111" s="368">
        <f t="shared" si="28"/>
        <v>0</v>
      </c>
      <c r="U111" s="372">
        <f t="shared" si="28"/>
        <v>0</v>
      </c>
      <c r="V111" s="372">
        <f t="shared" si="28"/>
        <v>0</v>
      </c>
    </row>
    <row r="112" spans="1:22" ht="15" customHeight="1">
      <c r="A112" s="1133" t="s">
        <v>8</v>
      </c>
      <c r="B112" s="1107" t="s">
        <v>8</v>
      </c>
      <c r="C112" s="1110" t="s">
        <v>17</v>
      </c>
      <c r="D112" s="1139" t="s">
        <v>103</v>
      </c>
      <c r="E112" s="1147" t="s">
        <v>22</v>
      </c>
      <c r="F112" s="1119" t="s">
        <v>12</v>
      </c>
      <c r="G112" s="1129" t="s">
        <v>144</v>
      </c>
      <c r="H112" s="515" t="s">
        <v>53</v>
      </c>
      <c r="I112" s="170">
        <f>J112+L112</f>
        <v>495</v>
      </c>
      <c r="J112" s="196"/>
      <c r="K112" s="196"/>
      <c r="L112" s="197">
        <v>495</v>
      </c>
      <c r="M112" s="170">
        <f>N112+P112</f>
        <v>0</v>
      </c>
      <c r="N112" s="193"/>
      <c r="O112" s="193"/>
      <c r="P112" s="262"/>
      <c r="Q112" s="377">
        <f>R112+T112</f>
        <v>0</v>
      </c>
      <c r="R112" s="375"/>
      <c r="S112" s="375"/>
      <c r="T112" s="376"/>
      <c r="U112" s="198"/>
      <c r="V112" s="195"/>
    </row>
    <row r="113" spans="1:22" ht="15" customHeight="1">
      <c r="A113" s="1134"/>
      <c r="B113" s="1108"/>
      <c r="C113" s="1111"/>
      <c r="D113" s="1140"/>
      <c r="E113" s="1148"/>
      <c r="F113" s="1150"/>
      <c r="G113" s="1130"/>
      <c r="H113" s="521"/>
      <c r="I113" s="522">
        <f>J113+L113</f>
        <v>0</v>
      </c>
      <c r="J113" s="523"/>
      <c r="K113" s="523"/>
      <c r="L113" s="524"/>
      <c r="M113" s="522">
        <f>N113+P113</f>
        <v>0</v>
      </c>
      <c r="N113" s="525"/>
      <c r="O113" s="525"/>
      <c r="P113" s="526"/>
      <c r="Q113" s="659">
        <f>R113+T113</f>
        <v>0</v>
      </c>
      <c r="R113" s="654"/>
      <c r="S113" s="654"/>
      <c r="T113" s="660"/>
      <c r="U113" s="527"/>
      <c r="V113" s="527"/>
    </row>
    <row r="114" spans="1:22" ht="15" customHeight="1" thickBot="1">
      <c r="A114" s="1135"/>
      <c r="B114" s="1109"/>
      <c r="C114" s="1112"/>
      <c r="D114" s="1140"/>
      <c r="E114" s="1149"/>
      <c r="F114" s="1122"/>
      <c r="G114" s="1131"/>
      <c r="H114" s="698" t="s">
        <v>20</v>
      </c>
      <c r="I114" s="367">
        <f>SUM(I112:I113)</f>
        <v>495</v>
      </c>
      <c r="J114" s="369">
        <f>SUM(J112,J113)</f>
        <v>0</v>
      </c>
      <c r="K114" s="369">
        <f>SUM(K112,K113)</f>
        <v>0</v>
      </c>
      <c r="L114" s="370">
        <f>SUM(L112,L113)</f>
        <v>495</v>
      </c>
      <c r="M114" s="367">
        <f>SUM(M112:M113)</f>
        <v>0</v>
      </c>
      <c r="N114" s="369">
        <f>SUM(N112,N113)</f>
        <v>0</v>
      </c>
      <c r="O114" s="369">
        <f>SUM(O112,O113)</f>
        <v>0</v>
      </c>
      <c r="P114" s="370">
        <f>SUM(P112,P113)</f>
        <v>0</v>
      </c>
      <c r="Q114" s="367">
        <f>SUM(Q112:Q113)</f>
        <v>0</v>
      </c>
      <c r="R114" s="369">
        <f>SUM(R112,R113)</f>
        <v>0</v>
      </c>
      <c r="S114" s="369">
        <f>SUM(S112,S113)</f>
        <v>0</v>
      </c>
      <c r="T114" s="370">
        <f>SUM(T112,T113)</f>
        <v>0</v>
      </c>
      <c r="U114" s="372">
        <f>SUM(U112,U113)</f>
        <v>0</v>
      </c>
      <c r="V114" s="372">
        <f>SUM(V112,V113)</f>
        <v>0</v>
      </c>
    </row>
    <row r="115" spans="1:22" ht="15" customHeight="1" thickBot="1">
      <c r="A115" s="1098" t="s">
        <v>8</v>
      </c>
      <c r="B115" s="1099" t="s">
        <v>8</v>
      </c>
      <c r="C115" s="1100" t="s">
        <v>291</v>
      </c>
      <c r="D115" s="1380" t="s">
        <v>292</v>
      </c>
      <c r="E115" s="509" t="s">
        <v>22</v>
      </c>
      <c r="F115" s="1102" t="s">
        <v>12</v>
      </c>
      <c r="G115" s="1103" t="s">
        <v>144</v>
      </c>
      <c r="H115" s="510" t="s">
        <v>11</v>
      </c>
      <c r="I115" s="178">
        <f>J115+L115</f>
        <v>4.3</v>
      </c>
      <c r="J115" s="179"/>
      <c r="K115" s="179"/>
      <c r="L115" s="306">
        <v>4.3</v>
      </c>
      <c r="M115" s="178">
        <f>N115+P115</f>
        <v>0</v>
      </c>
      <c r="N115" s="162"/>
      <c r="O115" s="162"/>
      <c r="P115" s="163"/>
      <c r="Q115" s="380">
        <f>R115+T115</f>
        <v>0</v>
      </c>
      <c r="R115" s="375"/>
      <c r="S115" s="375"/>
      <c r="T115" s="376"/>
      <c r="U115" s="183"/>
      <c r="V115" s="183"/>
    </row>
    <row r="116" spans="1:22" ht="15" customHeight="1" thickBot="1">
      <c r="A116" s="1098"/>
      <c r="B116" s="1099"/>
      <c r="C116" s="1100"/>
      <c r="D116" s="1380"/>
      <c r="E116" s="511"/>
      <c r="F116" s="1102"/>
      <c r="G116" s="1103"/>
      <c r="H116" s="510" t="s">
        <v>234</v>
      </c>
      <c r="I116" s="178"/>
      <c r="J116" s="179"/>
      <c r="K116" s="179"/>
      <c r="L116" s="306"/>
      <c r="M116" s="178">
        <f>N116+P116</f>
        <v>0</v>
      </c>
      <c r="N116" s="179"/>
      <c r="O116" s="179"/>
      <c r="P116" s="180"/>
      <c r="Q116" s="380">
        <f>R116+T116</f>
        <v>0</v>
      </c>
      <c r="R116" s="378"/>
      <c r="S116" s="378"/>
      <c r="T116" s="379"/>
      <c r="U116" s="183"/>
      <c r="V116" s="183"/>
    </row>
    <row r="117" spans="1:22" ht="15" customHeight="1" thickBot="1">
      <c r="A117" s="1098"/>
      <c r="B117" s="1099"/>
      <c r="C117" s="1100"/>
      <c r="D117" s="1380"/>
      <c r="E117" s="1104" t="s">
        <v>138</v>
      </c>
      <c r="F117" s="1102"/>
      <c r="G117" s="1103"/>
      <c r="H117" s="510" t="s">
        <v>18</v>
      </c>
      <c r="I117" s="178">
        <f>J117+L117</f>
        <v>1381.1</v>
      </c>
      <c r="J117" s="179"/>
      <c r="K117" s="179"/>
      <c r="L117" s="306">
        <v>1381.1</v>
      </c>
      <c r="M117" s="178">
        <f>N117+P117</f>
        <v>0</v>
      </c>
      <c r="N117" s="179"/>
      <c r="O117" s="179"/>
      <c r="P117" s="180"/>
      <c r="Q117" s="380">
        <f>R117+T117</f>
        <v>0</v>
      </c>
      <c r="R117" s="378"/>
      <c r="S117" s="378"/>
      <c r="T117" s="379"/>
      <c r="U117" s="708">
        <v>15000</v>
      </c>
      <c r="V117" s="183"/>
    </row>
    <row r="118" spans="1:22" ht="15" customHeight="1" thickBot="1">
      <c r="A118" s="1098"/>
      <c r="B118" s="1099"/>
      <c r="C118" s="1100"/>
      <c r="D118" s="1380"/>
      <c r="E118" s="1105"/>
      <c r="F118" s="1102"/>
      <c r="G118" s="1103"/>
      <c r="H118" s="512" t="s">
        <v>25</v>
      </c>
      <c r="I118" s="170">
        <f>J118+L118</f>
        <v>0</v>
      </c>
      <c r="J118" s="196"/>
      <c r="K118" s="196"/>
      <c r="L118" s="262"/>
      <c r="M118" s="170">
        <f>N118+P118</f>
        <v>0</v>
      </c>
      <c r="N118" s="196"/>
      <c r="O118" s="196"/>
      <c r="P118" s="197"/>
      <c r="Q118" s="377">
        <f>R118+T118</f>
        <v>0</v>
      </c>
      <c r="R118" s="392"/>
      <c r="S118" s="392"/>
      <c r="T118" s="393"/>
      <c r="U118" s="198"/>
      <c r="V118" s="198"/>
    </row>
    <row r="119" spans="1:22" ht="15" customHeight="1" thickBot="1">
      <c r="A119" s="1098"/>
      <c r="B119" s="1099"/>
      <c r="C119" s="1100"/>
      <c r="D119" s="1380"/>
      <c r="E119" s="1105"/>
      <c r="F119" s="1102"/>
      <c r="G119" s="1103"/>
      <c r="H119" s="532" t="s">
        <v>30</v>
      </c>
      <c r="I119" s="522"/>
      <c r="J119" s="526"/>
      <c r="K119" s="526"/>
      <c r="L119" s="526"/>
      <c r="M119" s="170">
        <f>N119+P119</f>
        <v>0</v>
      </c>
      <c r="N119" s="526"/>
      <c r="O119" s="526"/>
      <c r="P119" s="526"/>
      <c r="Q119" s="377">
        <f>R119+T119</f>
        <v>0</v>
      </c>
      <c r="R119" s="661"/>
      <c r="S119" s="661"/>
      <c r="T119" s="661"/>
      <c r="U119" s="709">
        <v>4000</v>
      </c>
      <c r="V119" s="527"/>
    </row>
    <row r="120" spans="1:22" ht="15" customHeight="1" thickBot="1">
      <c r="A120" s="1098"/>
      <c r="B120" s="1099"/>
      <c r="C120" s="1100"/>
      <c r="D120" s="1380"/>
      <c r="E120" s="1106"/>
      <c r="F120" s="1102"/>
      <c r="G120" s="1103"/>
      <c r="H120" s="698" t="s">
        <v>20</v>
      </c>
      <c r="I120" s="367">
        <f>SUM(I115:I118)</f>
        <v>1385.3999999999999</v>
      </c>
      <c r="J120" s="448">
        <f>SUM(J115:J118)</f>
        <v>0</v>
      </c>
      <c r="K120" s="448">
        <f>SUM(K115:K118)</f>
        <v>0</v>
      </c>
      <c r="L120" s="448">
        <f>SUM(L115:L118)</f>
        <v>1385.3999999999999</v>
      </c>
      <c r="M120" s="367">
        <f>SUM(M115:M119)</f>
        <v>0</v>
      </c>
      <c r="N120" s="369">
        <f aca="true" t="shared" si="29" ref="N120:V120">SUM(N115:N119)</f>
        <v>0</v>
      </c>
      <c r="O120" s="369">
        <f t="shared" si="29"/>
        <v>0</v>
      </c>
      <c r="P120" s="370">
        <f t="shared" si="29"/>
        <v>0</v>
      </c>
      <c r="Q120" s="384">
        <f t="shared" si="29"/>
        <v>0</v>
      </c>
      <c r="R120" s="369">
        <f t="shared" si="29"/>
        <v>0</v>
      </c>
      <c r="S120" s="369">
        <f t="shared" si="29"/>
        <v>0</v>
      </c>
      <c r="T120" s="384">
        <f t="shared" si="29"/>
        <v>0</v>
      </c>
      <c r="U120" s="367">
        <f>SUM(U115:U119)</f>
        <v>19000</v>
      </c>
      <c r="V120" s="367">
        <f t="shared" si="29"/>
        <v>0</v>
      </c>
    </row>
    <row r="121" spans="1:22" ht="15" customHeight="1" thickBot="1">
      <c r="A121" s="564" t="s">
        <v>8</v>
      </c>
      <c r="B121" s="508" t="s">
        <v>8</v>
      </c>
      <c r="C121" s="1225" t="s">
        <v>19</v>
      </c>
      <c r="D121" s="1226"/>
      <c r="E121" s="1226"/>
      <c r="F121" s="1226"/>
      <c r="G121" s="1226"/>
      <c r="H121" s="1227"/>
      <c r="I121" s="565">
        <f>SUM(I101,I54,I43,I36,I72,I69,I40,I129,I22,I66,I49,I46,I19,I83,I94,I79,I88,I76,I63,I59,I15,I33,I25,I114,I111,I106)</f>
        <v>16573.199999999997</v>
      </c>
      <c r="J121" s="565">
        <f>SUM(J101,J54,J43,J36,J72,J69,J40,J129,J22,J66,J49,J46,J19,J83,J94,J79,J88,J76,J63,J59,J15,J33,J25,J114,J111,J106)</f>
        <v>67.7</v>
      </c>
      <c r="K121" s="565">
        <f>SUM(K101,K54,K43,K36,K72,K69,K40,K129,K22,K66,K49,K46,K19,K83,K94,K79,K88,K76,K63,K59,K15,K33,K25,K114,K111,K106)</f>
        <v>0</v>
      </c>
      <c r="L121" s="565">
        <f>SUM(L101,L54,L43,L36,L72,L69,L40,L129,L22,L66,L49,L46,L19,L83,L94,L79,L88,L76,L63,L59,L15,L33,L25,L114,L111,L106)</f>
        <v>16505.5</v>
      </c>
      <c r="M121" s="576">
        <f>SUM(M15,M19,M22,M25,M29,M33,M36,M40,M43,M46,M49,M54,M59,M63,M66,M69,M72,M76,M79,M83,M88,M94,M97,M101,M106,M111,M114,M120)</f>
        <v>19804.1</v>
      </c>
      <c r="N121" s="744">
        <f aca="true" t="shared" si="30" ref="N121:V121">SUM(N15,N19,N22,N25,N29,N33,N36,N40,N43,N46,N49,N54,N59,N63,N66,N69,N72,N76,N79,N83,N88,N94,N97,N101,N106,N111,N114,N120)</f>
        <v>0</v>
      </c>
      <c r="O121" s="744">
        <f t="shared" si="30"/>
        <v>0</v>
      </c>
      <c r="P121" s="752">
        <f t="shared" si="30"/>
        <v>19804.1</v>
      </c>
      <c r="Q121" s="576">
        <f t="shared" si="30"/>
        <v>19524.399999999998</v>
      </c>
      <c r="R121" s="744">
        <f t="shared" si="30"/>
        <v>0</v>
      </c>
      <c r="S121" s="744">
        <f t="shared" si="30"/>
        <v>0</v>
      </c>
      <c r="T121" s="752">
        <f t="shared" si="30"/>
        <v>19524.399999999998</v>
      </c>
      <c r="U121" s="576">
        <f>SUM(U15,U19,U22,U25,U29,U33,U36,U40,U43,U46,U49,U54,U59,U63,U66,U69,U72,U76,U79,U83,U88,U94,U97,U101,U106,U111,U114,U120)</f>
        <v>47727.399999999994</v>
      </c>
      <c r="V121" s="576">
        <f t="shared" si="30"/>
        <v>19143.3</v>
      </c>
    </row>
    <row r="122" spans="1:22" ht="15" customHeight="1" thickBot="1">
      <c r="A122" s="26" t="s">
        <v>8</v>
      </c>
      <c r="B122" s="23" t="s">
        <v>9</v>
      </c>
      <c r="C122" s="1228" t="s">
        <v>49</v>
      </c>
      <c r="D122" s="1228"/>
      <c r="E122" s="1228"/>
      <c r="F122" s="1228"/>
      <c r="G122" s="1228"/>
      <c r="H122" s="1228"/>
      <c r="I122" s="1228"/>
      <c r="J122" s="1228"/>
      <c r="K122" s="1228"/>
      <c r="L122" s="1228"/>
      <c r="M122" s="1228"/>
      <c r="N122" s="1228"/>
      <c r="O122" s="1228"/>
      <c r="P122" s="1228"/>
      <c r="Q122" s="1228"/>
      <c r="R122" s="1228"/>
      <c r="S122" s="1228"/>
      <c r="T122" s="1228"/>
      <c r="U122" s="1228"/>
      <c r="V122" s="1229"/>
    </row>
    <row r="123" spans="1:22" ht="15" customHeight="1">
      <c r="A123" s="1230" t="s">
        <v>8</v>
      </c>
      <c r="B123" s="1157" t="s">
        <v>9</v>
      </c>
      <c r="C123" s="1210" t="s">
        <v>8</v>
      </c>
      <c r="D123" s="1235" t="s">
        <v>259</v>
      </c>
      <c r="E123" s="566" t="s">
        <v>22</v>
      </c>
      <c r="F123" s="1238" t="s">
        <v>12</v>
      </c>
      <c r="G123" s="1241" t="s">
        <v>144</v>
      </c>
      <c r="H123" s="567" t="s">
        <v>18</v>
      </c>
      <c r="I123" s="184">
        <f>J123+L123</f>
        <v>5834.9</v>
      </c>
      <c r="J123" s="175"/>
      <c r="K123" s="175"/>
      <c r="L123" s="176">
        <v>5834.9</v>
      </c>
      <c r="M123" s="184">
        <f>N123+P123</f>
        <v>9954</v>
      </c>
      <c r="N123" s="175"/>
      <c r="O123" s="175"/>
      <c r="P123" s="176">
        <v>9954</v>
      </c>
      <c r="Q123" s="394">
        <f>R123+T123</f>
        <v>9954</v>
      </c>
      <c r="R123" s="388"/>
      <c r="S123" s="388"/>
      <c r="T123" s="389">
        <v>9954</v>
      </c>
      <c r="U123" s="568"/>
      <c r="V123" s="569"/>
    </row>
    <row r="124" spans="1:22" ht="15" customHeight="1">
      <c r="A124" s="1231"/>
      <c r="B124" s="1233"/>
      <c r="C124" s="1234"/>
      <c r="D124" s="1236"/>
      <c r="E124" s="1245" t="s">
        <v>136</v>
      </c>
      <c r="F124" s="1239"/>
      <c r="G124" s="1242"/>
      <c r="H124" s="570" t="s">
        <v>234</v>
      </c>
      <c r="I124" s="185">
        <f>J124+L124</f>
        <v>0</v>
      </c>
      <c r="J124" s="196"/>
      <c r="K124" s="196"/>
      <c r="L124" s="197"/>
      <c r="M124" s="185">
        <f>N124+P124</f>
        <v>69</v>
      </c>
      <c r="N124" s="196"/>
      <c r="O124" s="196"/>
      <c r="P124" s="197">
        <v>69</v>
      </c>
      <c r="Q124" s="395">
        <f>R124+T124</f>
        <v>69</v>
      </c>
      <c r="R124" s="392"/>
      <c r="S124" s="392"/>
      <c r="T124" s="393">
        <v>69</v>
      </c>
      <c r="U124" s="571"/>
      <c r="V124" s="572"/>
    </row>
    <row r="125" spans="1:22" ht="15" customHeight="1">
      <c r="A125" s="1231"/>
      <c r="B125" s="1233"/>
      <c r="C125" s="1234"/>
      <c r="D125" s="1236"/>
      <c r="E125" s="1246"/>
      <c r="F125" s="1239"/>
      <c r="G125" s="1243"/>
      <c r="H125" s="573" t="s">
        <v>11</v>
      </c>
      <c r="I125" s="187">
        <f>J125+L125</f>
        <v>44.5</v>
      </c>
      <c r="J125" s="523"/>
      <c r="K125" s="523"/>
      <c r="L125" s="524">
        <v>44.5</v>
      </c>
      <c r="M125" s="187">
        <f>N125+P125</f>
        <v>0</v>
      </c>
      <c r="N125" s="523"/>
      <c r="O125" s="523"/>
      <c r="P125" s="524"/>
      <c r="Q125" s="398">
        <f>R125+T125</f>
        <v>0</v>
      </c>
      <c r="R125" s="654"/>
      <c r="S125" s="654"/>
      <c r="T125" s="660"/>
      <c r="U125" s="574"/>
      <c r="V125" s="575"/>
    </row>
    <row r="126" spans="1:22" ht="15" customHeight="1" thickBot="1">
      <c r="A126" s="1232"/>
      <c r="B126" s="1158"/>
      <c r="C126" s="1212"/>
      <c r="D126" s="1237"/>
      <c r="E126" s="1247"/>
      <c r="F126" s="1240"/>
      <c r="G126" s="1244"/>
      <c r="H126" s="679" t="s">
        <v>20</v>
      </c>
      <c r="I126" s="664">
        <f aca="true" t="shared" si="31" ref="I126:V126">SUM(I123:I125)</f>
        <v>5879.4</v>
      </c>
      <c r="J126" s="665">
        <f t="shared" si="31"/>
        <v>0</v>
      </c>
      <c r="K126" s="665">
        <f t="shared" si="31"/>
        <v>0</v>
      </c>
      <c r="L126" s="666">
        <f t="shared" si="31"/>
        <v>5879.4</v>
      </c>
      <c r="M126" s="664">
        <f t="shared" si="31"/>
        <v>10023</v>
      </c>
      <c r="N126" s="665">
        <f t="shared" si="31"/>
        <v>0</v>
      </c>
      <c r="O126" s="665">
        <f t="shared" si="31"/>
        <v>0</v>
      </c>
      <c r="P126" s="666">
        <f t="shared" si="31"/>
        <v>10023</v>
      </c>
      <c r="Q126" s="664">
        <f t="shared" si="31"/>
        <v>10023</v>
      </c>
      <c r="R126" s="665">
        <f t="shared" si="31"/>
        <v>0</v>
      </c>
      <c r="S126" s="665">
        <f t="shared" si="31"/>
        <v>0</v>
      </c>
      <c r="T126" s="666">
        <f t="shared" si="31"/>
        <v>10023</v>
      </c>
      <c r="U126" s="680">
        <f t="shared" si="31"/>
        <v>0</v>
      </c>
      <c r="V126" s="681">
        <f t="shared" si="31"/>
        <v>0</v>
      </c>
    </row>
    <row r="127" spans="1:22" ht="15" customHeight="1">
      <c r="A127" s="1133" t="s">
        <v>8</v>
      </c>
      <c r="B127" s="1107" t="s">
        <v>9</v>
      </c>
      <c r="C127" s="1110" t="s">
        <v>9</v>
      </c>
      <c r="D127" s="1248" t="s">
        <v>260</v>
      </c>
      <c r="E127" s="514" t="s">
        <v>22</v>
      </c>
      <c r="F127" s="1119" t="s">
        <v>12</v>
      </c>
      <c r="G127" s="1129" t="s">
        <v>144</v>
      </c>
      <c r="H127" s="515" t="s">
        <v>11</v>
      </c>
      <c r="I127" s="165">
        <f>J127+L127</f>
        <v>0</v>
      </c>
      <c r="J127" s="188"/>
      <c r="K127" s="188"/>
      <c r="L127" s="192"/>
      <c r="M127" s="165">
        <f>N127+P127</f>
        <v>0</v>
      </c>
      <c r="N127" s="193"/>
      <c r="O127" s="193"/>
      <c r="P127" s="194"/>
      <c r="Q127" s="374">
        <f>R127+T127</f>
        <v>0</v>
      </c>
      <c r="R127" s="390"/>
      <c r="S127" s="390"/>
      <c r="T127" s="391"/>
      <c r="U127" s="195"/>
      <c r="V127" s="195"/>
    </row>
    <row r="128" spans="1:22" ht="15" customHeight="1">
      <c r="A128" s="1134"/>
      <c r="B128" s="1108"/>
      <c r="C128" s="1111"/>
      <c r="D128" s="1249"/>
      <c r="E128" s="1183" t="s">
        <v>139</v>
      </c>
      <c r="F128" s="1121"/>
      <c r="G128" s="1131"/>
      <c r="H128" s="515" t="s">
        <v>53</v>
      </c>
      <c r="I128" s="170">
        <f>J128+L128</f>
        <v>0</v>
      </c>
      <c r="J128" s="196"/>
      <c r="K128" s="196"/>
      <c r="L128" s="197"/>
      <c r="M128" s="170">
        <f>N128+P128</f>
        <v>3000</v>
      </c>
      <c r="N128" s="193"/>
      <c r="O128" s="193"/>
      <c r="P128" s="194">
        <v>3000</v>
      </c>
      <c r="Q128" s="377">
        <f>R128+T128</f>
        <v>1300</v>
      </c>
      <c r="R128" s="392"/>
      <c r="S128" s="392"/>
      <c r="T128" s="393">
        <f>3000-1700</f>
        <v>1300</v>
      </c>
      <c r="U128" s="520">
        <v>6001.4</v>
      </c>
      <c r="V128" s="198"/>
    </row>
    <row r="129" spans="1:22" ht="15" customHeight="1" thickBot="1">
      <c r="A129" s="1135"/>
      <c r="B129" s="1109"/>
      <c r="C129" s="1112"/>
      <c r="D129" s="1250"/>
      <c r="E129" s="1184"/>
      <c r="F129" s="1122"/>
      <c r="G129" s="1132"/>
      <c r="H129" s="698" t="s">
        <v>20</v>
      </c>
      <c r="I129" s="367">
        <f aca="true" t="shared" si="32" ref="I129:V129">SUM(I127:I128)</f>
        <v>0</v>
      </c>
      <c r="J129" s="368">
        <f t="shared" si="32"/>
        <v>0</v>
      </c>
      <c r="K129" s="369">
        <f t="shared" si="32"/>
        <v>0</v>
      </c>
      <c r="L129" s="370">
        <f t="shared" si="32"/>
        <v>0</v>
      </c>
      <c r="M129" s="367">
        <f t="shared" si="32"/>
        <v>3000</v>
      </c>
      <c r="N129" s="368">
        <f t="shared" si="32"/>
        <v>0</v>
      </c>
      <c r="O129" s="369">
        <f t="shared" si="32"/>
        <v>0</v>
      </c>
      <c r="P129" s="370">
        <f t="shared" si="32"/>
        <v>3000</v>
      </c>
      <c r="Q129" s="367">
        <f t="shared" si="32"/>
        <v>1300</v>
      </c>
      <c r="R129" s="368">
        <f t="shared" si="32"/>
        <v>0</v>
      </c>
      <c r="S129" s="369">
        <f t="shared" si="32"/>
        <v>0</v>
      </c>
      <c r="T129" s="370">
        <f t="shared" si="32"/>
        <v>1300</v>
      </c>
      <c r="U129" s="372">
        <f t="shared" si="32"/>
        <v>6001.4</v>
      </c>
      <c r="V129" s="372">
        <f t="shared" si="32"/>
        <v>0</v>
      </c>
    </row>
    <row r="130" spans="1:22" ht="15" customHeight="1" thickBot="1">
      <c r="A130" s="564" t="s">
        <v>8</v>
      </c>
      <c r="B130" s="508" t="s">
        <v>9</v>
      </c>
      <c r="C130" s="1251" t="s">
        <v>19</v>
      </c>
      <c r="D130" s="1252"/>
      <c r="E130" s="1252"/>
      <c r="F130" s="1252"/>
      <c r="G130" s="1252"/>
      <c r="H130" s="1253"/>
      <c r="I130" s="576">
        <f>SUM(I126)</f>
        <v>5879.4</v>
      </c>
      <c r="J130" s="576">
        <f>SUM(J126)</f>
        <v>0</v>
      </c>
      <c r="K130" s="576">
        <f>SUM(K126)</f>
        <v>0</v>
      </c>
      <c r="L130" s="576">
        <f>SUM(L126)</f>
        <v>5879.4</v>
      </c>
      <c r="M130" s="576">
        <f>SUM(M126,M129)</f>
        <v>13023</v>
      </c>
      <c r="N130" s="744">
        <f aca="true" t="shared" si="33" ref="N130:V130">SUM(N126,N129)</f>
        <v>0</v>
      </c>
      <c r="O130" s="744">
        <f t="shared" si="33"/>
        <v>0</v>
      </c>
      <c r="P130" s="752">
        <f t="shared" si="33"/>
        <v>13023</v>
      </c>
      <c r="Q130" s="576">
        <f t="shared" si="33"/>
        <v>11323</v>
      </c>
      <c r="R130" s="744">
        <f t="shared" si="33"/>
        <v>0</v>
      </c>
      <c r="S130" s="744">
        <f t="shared" si="33"/>
        <v>0</v>
      </c>
      <c r="T130" s="752">
        <f t="shared" si="33"/>
        <v>11323</v>
      </c>
      <c r="U130" s="576">
        <f t="shared" si="33"/>
        <v>6001.4</v>
      </c>
      <c r="V130" s="576">
        <f t="shared" si="33"/>
        <v>0</v>
      </c>
    </row>
    <row r="131" spans="1:22" ht="15" customHeight="1" thickBot="1">
      <c r="A131" s="507" t="s">
        <v>8</v>
      </c>
      <c r="B131" s="508" t="s">
        <v>10</v>
      </c>
      <c r="C131" s="1254" t="s">
        <v>179</v>
      </c>
      <c r="D131" s="1255"/>
      <c r="E131" s="1255"/>
      <c r="F131" s="1255"/>
      <c r="G131" s="1255"/>
      <c r="H131" s="1255"/>
      <c r="I131" s="1255"/>
      <c r="J131" s="1255"/>
      <c r="K131" s="1255"/>
      <c r="L131" s="1255"/>
      <c r="M131" s="1255"/>
      <c r="N131" s="1255"/>
      <c r="O131" s="1255"/>
      <c r="P131" s="1255"/>
      <c r="Q131" s="1255"/>
      <c r="R131" s="1255"/>
      <c r="S131" s="1255"/>
      <c r="T131" s="1255"/>
      <c r="U131" s="1255"/>
      <c r="V131" s="1256"/>
    </row>
    <row r="132" spans="1:22" ht="15" customHeight="1">
      <c r="A132" s="1155" t="s">
        <v>8</v>
      </c>
      <c r="B132" s="1157" t="s">
        <v>10</v>
      </c>
      <c r="C132" s="1110" t="s">
        <v>8</v>
      </c>
      <c r="D132" s="1144" t="s">
        <v>261</v>
      </c>
      <c r="E132" s="1201"/>
      <c r="F132" s="1258" t="s">
        <v>12</v>
      </c>
      <c r="G132" s="1207" t="s">
        <v>145</v>
      </c>
      <c r="H132" s="577" t="s">
        <v>11</v>
      </c>
      <c r="I132" s="165">
        <f>J132+L132</f>
        <v>198.8</v>
      </c>
      <c r="J132" s="162">
        <v>198.8</v>
      </c>
      <c r="K132" s="162"/>
      <c r="L132" s="163"/>
      <c r="M132" s="165">
        <f>N132+P132</f>
        <v>198.8</v>
      </c>
      <c r="N132" s="166">
        <v>198.8</v>
      </c>
      <c r="O132" s="166"/>
      <c r="P132" s="167"/>
      <c r="Q132" s="374">
        <f>R132+T132</f>
        <v>179</v>
      </c>
      <c r="R132" s="375">
        <v>179</v>
      </c>
      <c r="S132" s="375"/>
      <c r="T132" s="376"/>
      <c r="U132" s="168">
        <v>179</v>
      </c>
      <c r="V132" s="169">
        <v>179</v>
      </c>
    </row>
    <row r="133" spans="1:22" ht="15" customHeight="1">
      <c r="A133" s="1134"/>
      <c r="B133" s="1108"/>
      <c r="C133" s="1111"/>
      <c r="D133" s="1145"/>
      <c r="E133" s="1202"/>
      <c r="F133" s="1259"/>
      <c r="G133" s="1208"/>
      <c r="H133" s="578"/>
      <c r="I133" s="170">
        <f>J133+L133</f>
        <v>0</v>
      </c>
      <c r="J133" s="171"/>
      <c r="K133" s="171"/>
      <c r="L133" s="172"/>
      <c r="M133" s="170">
        <f>N133+P133</f>
        <v>0</v>
      </c>
      <c r="N133" s="171"/>
      <c r="O133" s="171"/>
      <c r="P133" s="172"/>
      <c r="Q133" s="377">
        <f>R133+T133</f>
        <v>0</v>
      </c>
      <c r="R133" s="396"/>
      <c r="S133" s="396"/>
      <c r="T133" s="397"/>
      <c r="U133" s="579"/>
      <c r="V133" s="173"/>
    </row>
    <row r="134" spans="1:22" ht="15" customHeight="1" thickBot="1">
      <c r="A134" s="1156"/>
      <c r="B134" s="1158"/>
      <c r="C134" s="1112"/>
      <c r="D134" s="1257"/>
      <c r="E134" s="1203"/>
      <c r="F134" s="1260"/>
      <c r="G134" s="1209"/>
      <c r="H134" s="682" t="s">
        <v>20</v>
      </c>
      <c r="I134" s="367">
        <f aca="true" t="shared" si="34" ref="I134:V134">SUM(I132:I133)</f>
        <v>198.8</v>
      </c>
      <c r="J134" s="368">
        <f t="shared" si="34"/>
        <v>198.8</v>
      </c>
      <c r="K134" s="369">
        <f t="shared" si="34"/>
        <v>0</v>
      </c>
      <c r="L134" s="370">
        <f t="shared" si="34"/>
        <v>0</v>
      </c>
      <c r="M134" s="367">
        <f t="shared" si="34"/>
        <v>198.8</v>
      </c>
      <c r="N134" s="368">
        <f t="shared" si="34"/>
        <v>198.8</v>
      </c>
      <c r="O134" s="369">
        <f t="shared" si="34"/>
        <v>0</v>
      </c>
      <c r="P134" s="370">
        <f t="shared" si="34"/>
        <v>0</v>
      </c>
      <c r="Q134" s="367">
        <f t="shared" si="34"/>
        <v>179</v>
      </c>
      <c r="R134" s="368">
        <f t="shared" si="34"/>
        <v>179</v>
      </c>
      <c r="S134" s="369">
        <f t="shared" si="34"/>
        <v>0</v>
      </c>
      <c r="T134" s="370">
        <f t="shared" si="34"/>
        <v>0</v>
      </c>
      <c r="U134" s="371">
        <f t="shared" si="34"/>
        <v>179</v>
      </c>
      <c r="V134" s="372">
        <f t="shared" si="34"/>
        <v>179</v>
      </c>
    </row>
    <row r="135" spans="1:22" ht="15" customHeight="1">
      <c r="A135" s="1155" t="s">
        <v>8</v>
      </c>
      <c r="B135" s="1157" t="s">
        <v>10</v>
      </c>
      <c r="C135" s="1159" t="s">
        <v>8</v>
      </c>
      <c r="D135" s="1261" t="s">
        <v>262</v>
      </c>
      <c r="E135" s="1263"/>
      <c r="F135" s="656">
        <v>10</v>
      </c>
      <c r="G135" s="1207" t="s">
        <v>145</v>
      </c>
      <c r="H135" s="580" t="s">
        <v>11</v>
      </c>
      <c r="I135" s="184">
        <f>J135+L135</f>
        <v>15307.5</v>
      </c>
      <c r="J135" s="581">
        <v>15307.5</v>
      </c>
      <c r="K135" s="581"/>
      <c r="L135" s="582"/>
      <c r="M135" s="184">
        <f>N135+P135</f>
        <v>14584.7</v>
      </c>
      <c r="N135" s="581">
        <v>14584.7</v>
      </c>
      <c r="O135" s="581"/>
      <c r="P135" s="583"/>
      <c r="Q135" s="374">
        <f>R135+T135</f>
        <v>16265.9</v>
      </c>
      <c r="R135" s="685">
        <f>13770-17.5+2513.4</f>
        <v>16265.9</v>
      </c>
      <c r="S135" s="685"/>
      <c r="T135" s="686"/>
      <c r="U135" s="169">
        <v>15500</v>
      </c>
      <c r="V135" s="169">
        <v>15500</v>
      </c>
    </row>
    <row r="136" spans="1:22" ht="15" customHeight="1">
      <c r="A136" s="1134"/>
      <c r="B136" s="1108"/>
      <c r="C136" s="1111"/>
      <c r="D136" s="1145"/>
      <c r="E136" s="1264"/>
      <c r="F136" s="1259" t="s">
        <v>39</v>
      </c>
      <c r="G136" s="1208"/>
      <c r="H136" s="580" t="s">
        <v>11</v>
      </c>
      <c r="I136" s="185">
        <f>J136+L136</f>
        <v>50</v>
      </c>
      <c r="J136" s="584">
        <v>50</v>
      </c>
      <c r="K136" s="584"/>
      <c r="L136" s="585"/>
      <c r="M136" s="185">
        <f>N136+P136</f>
        <v>1969</v>
      </c>
      <c r="N136" s="584">
        <v>1969</v>
      </c>
      <c r="O136" s="584"/>
      <c r="P136" s="586"/>
      <c r="Q136" s="426">
        <f>R136+T136</f>
        <v>45</v>
      </c>
      <c r="R136" s="687">
        <v>45</v>
      </c>
      <c r="S136" s="687"/>
      <c r="T136" s="688"/>
      <c r="U136" s="186">
        <v>45</v>
      </c>
      <c r="V136" s="186">
        <v>45</v>
      </c>
    </row>
    <row r="137" spans="1:22" ht="15" customHeight="1">
      <c r="A137" s="1134"/>
      <c r="B137" s="1108"/>
      <c r="C137" s="1111"/>
      <c r="D137" s="1145"/>
      <c r="E137" s="1179"/>
      <c r="F137" s="1265"/>
      <c r="G137" s="1208"/>
      <c r="H137" s="587" t="s">
        <v>263</v>
      </c>
      <c r="I137" s="187">
        <f>J137+L137</f>
        <v>0</v>
      </c>
      <c r="J137" s="588"/>
      <c r="K137" s="588"/>
      <c r="L137" s="589"/>
      <c r="M137" s="187">
        <f>N137+P137</f>
        <v>0</v>
      </c>
      <c r="N137" s="588"/>
      <c r="O137" s="588"/>
      <c r="P137" s="590"/>
      <c r="Q137" s="377">
        <f>R137+T137</f>
        <v>0</v>
      </c>
      <c r="R137" s="689"/>
      <c r="S137" s="689"/>
      <c r="T137" s="690"/>
      <c r="U137" s="591"/>
      <c r="V137" s="591"/>
    </row>
    <row r="138" spans="1:22" ht="15" customHeight="1" thickBot="1">
      <c r="A138" s="1156"/>
      <c r="B138" s="1158"/>
      <c r="C138" s="1160"/>
      <c r="D138" s="1262"/>
      <c r="E138" s="1180"/>
      <c r="F138" s="1266"/>
      <c r="G138" s="1209"/>
      <c r="H138" s="683" t="s">
        <v>20</v>
      </c>
      <c r="I138" s="664">
        <f aca="true" t="shared" si="35" ref="I138:V138">SUM(I135:I137)</f>
        <v>15357.5</v>
      </c>
      <c r="J138" s="665">
        <f t="shared" si="35"/>
        <v>15357.5</v>
      </c>
      <c r="K138" s="665">
        <f t="shared" si="35"/>
        <v>0</v>
      </c>
      <c r="L138" s="666">
        <f t="shared" si="35"/>
        <v>0</v>
      </c>
      <c r="M138" s="664">
        <f t="shared" si="35"/>
        <v>16553.7</v>
      </c>
      <c r="N138" s="665">
        <f t="shared" si="35"/>
        <v>16553.7</v>
      </c>
      <c r="O138" s="665">
        <f t="shared" si="35"/>
        <v>0</v>
      </c>
      <c r="P138" s="666">
        <f t="shared" si="35"/>
        <v>0</v>
      </c>
      <c r="Q138" s="664">
        <f t="shared" si="35"/>
        <v>16310.9</v>
      </c>
      <c r="R138" s="665">
        <f t="shared" si="35"/>
        <v>16310.9</v>
      </c>
      <c r="S138" s="665">
        <f t="shared" si="35"/>
        <v>0</v>
      </c>
      <c r="T138" s="666">
        <f t="shared" si="35"/>
        <v>0</v>
      </c>
      <c r="U138" s="667">
        <f t="shared" si="35"/>
        <v>15545</v>
      </c>
      <c r="V138" s="667">
        <f t="shared" si="35"/>
        <v>15545</v>
      </c>
    </row>
    <row r="139" spans="1:22" ht="15" customHeight="1">
      <c r="A139" s="26" t="s">
        <v>8</v>
      </c>
      <c r="B139" s="23" t="s">
        <v>10</v>
      </c>
      <c r="C139" s="1110" t="s">
        <v>8</v>
      </c>
      <c r="D139" s="1267" t="s">
        <v>264</v>
      </c>
      <c r="E139" s="1270" t="s">
        <v>265</v>
      </c>
      <c r="F139" s="1204" t="s">
        <v>12</v>
      </c>
      <c r="G139" s="1207" t="s">
        <v>145</v>
      </c>
      <c r="H139" s="592" t="s">
        <v>11</v>
      </c>
      <c r="I139" s="165">
        <f>J139+L139</f>
        <v>66.9</v>
      </c>
      <c r="J139" s="162">
        <v>66.9</v>
      </c>
      <c r="K139" s="162"/>
      <c r="L139" s="163"/>
      <c r="M139" s="165">
        <f>N139+P139</f>
        <v>210</v>
      </c>
      <c r="N139" s="162">
        <v>210</v>
      </c>
      <c r="O139" s="188"/>
      <c r="P139" s="163"/>
      <c r="Q139" s="374">
        <f>R139+T139</f>
        <v>45.2</v>
      </c>
      <c r="R139" s="375">
        <v>45.2</v>
      </c>
      <c r="S139" s="375"/>
      <c r="T139" s="376"/>
      <c r="U139" s="593">
        <v>45.2</v>
      </c>
      <c r="V139" s="189">
        <v>45.2</v>
      </c>
    </row>
    <row r="140" spans="1:22" ht="15" customHeight="1">
      <c r="A140" s="26"/>
      <c r="B140" s="23"/>
      <c r="C140" s="1111"/>
      <c r="D140" s="1268"/>
      <c r="E140" s="1271"/>
      <c r="F140" s="1205"/>
      <c r="G140" s="1208"/>
      <c r="H140" s="595"/>
      <c r="I140" s="170">
        <f>J140+L140</f>
        <v>0</v>
      </c>
      <c r="J140" s="171"/>
      <c r="K140" s="171"/>
      <c r="L140" s="172"/>
      <c r="M140" s="170">
        <f>N140+P140</f>
        <v>0</v>
      </c>
      <c r="N140" s="171"/>
      <c r="O140" s="190"/>
      <c r="P140" s="172"/>
      <c r="Q140" s="377">
        <f>R140+T140</f>
        <v>0</v>
      </c>
      <c r="R140" s="396"/>
      <c r="S140" s="396"/>
      <c r="T140" s="397"/>
      <c r="U140" s="596"/>
      <c r="V140" s="191"/>
    </row>
    <row r="141" spans="1:22" ht="15" customHeight="1" thickBot="1">
      <c r="A141" s="517"/>
      <c r="B141" s="518"/>
      <c r="C141" s="1112"/>
      <c r="D141" s="1269"/>
      <c r="E141" s="1272"/>
      <c r="F141" s="1206"/>
      <c r="G141" s="1209"/>
      <c r="H141" s="682" t="s">
        <v>20</v>
      </c>
      <c r="I141" s="367">
        <f aca="true" t="shared" si="36" ref="I141:V141">SUM(I139:I140)</f>
        <v>66.9</v>
      </c>
      <c r="J141" s="368">
        <f t="shared" si="36"/>
        <v>66.9</v>
      </c>
      <c r="K141" s="369">
        <f t="shared" si="36"/>
        <v>0</v>
      </c>
      <c r="L141" s="370">
        <f t="shared" si="36"/>
        <v>0</v>
      </c>
      <c r="M141" s="367">
        <f t="shared" si="36"/>
        <v>210</v>
      </c>
      <c r="N141" s="368">
        <f t="shared" si="36"/>
        <v>210</v>
      </c>
      <c r="O141" s="369">
        <f t="shared" si="36"/>
        <v>0</v>
      </c>
      <c r="P141" s="370">
        <f t="shared" si="36"/>
        <v>0</v>
      </c>
      <c r="Q141" s="367">
        <f t="shared" si="36"/>
        <v>45.2</v>
      </c>
      <c r="R141" s="368">
        <f t="shared" si="36"/>
        <v>45.2</v>
      </c>
      <c r="S141" s="369">
        <f t="shared" si="36"/>
        <v>0</v>
      </c>
      <c r="T141" s="370">
        <f t="shared" si="36"/>
        <v>0</v>
      </c>
      <c r="U141" s="371">
        <f t="shared" si="36"/>
        <v>45.2</v>
      </c>
      <c r="V141" s="372">
        <f t="shared" si="36"/>
        <v>45.2</v>
      </c>
    </row>
    <row r="142" spans="1:22" ht="15" customHeight="1">
      <c r="A142" s="1155" t="s">
        <v>8</v>
      </c>
      <c r="B142" s="1157" t="s">
        <v>10</v>
      </c>
      <c r="C142" s="1110" t="s">
        <v>8</v>
      </c>
      <c r="D142" s="1273" t="s">
        <v>266</v>
      </c>
      <c r="E142" s="1263"/>
      <c r="F142" s="1276" t="s">
        <v>12</v>
      </c>
      <c r="G142" s="1207" t="s">
        <v>145</v>
      </c>
      <c r="H142" s="597" t="s">
        <v>11</v>
      </c>
      <c r="I142" s="165">
        <f>J142+L142</f>
        <v>137.1</v>
      </c>
      <c r="J142" s="162">
        <v>137.1</v>
      </c>
      <c r="K142" s="188"/>
      <c r="L142" s="192"/>
      <c r="M142" s="165">
        <f>N142+P142</f>
        <v>5736.5</v>
      </c>
      <c r="N142" s="193">
        <v>5736.5</v>
      </c>
      <c r="O142" s="193"/>
      <c r="P142" s="194"/>
      <c r="Q142" s="374">
        <f>R142+T142</f>
        <v>871.6</v>
      </c>
      <c r="R142" s="392">
        <v>871.6</v>
      </c>
      <c r="S142" s="390"/>
      <c r="T142" s="391"/>
      <c r="U142" s="195">
        <v>303</v>
      </c>
      <c r="V142" s="195">
        <v>303</v>
      </c>
    </row>
    <row r="143" spans="1:22" ht="15" customHeight="1">
      <c r="A143" s="1134"/>
      <c r="B143" s="1108"/>
      <c r="C143" s="1111"/>
      <c r="D143" s="1268"/>
      <c r="E143" s="1264"/>
      <c r="F143" s="1277"/>
      <c r="G143" s="1208"/>
      <c r="H143" s="578"/>
      <c r="I143" s="170">
        <f>J143+L143</f>
        <v>0</v>
      </c>
      <c r="J143" s="196"/>
      <c r="K143" s="196"/>
      <c r="L143" s="197"/>
      <c r="M143" s="170">
        <f>N143+P143</f>
        <v>0</v>
      </c>
      <c r="N143" s="193"/>
      <c r="O143" s="193"/>
      <c r="P143" s="194"/>
      <c r="Q143" s="377">
        <f>R143+T143</f>
        <v>0</v>
      </c>
      <c r="R143" s="392"/>
      <c r="S143" s="392"/>
      <c r="T143" s="393"/>
      <c r="U143" s="520"/>
      <c r="V143" s="198"/>
    </row>
    <row r="144" spans="1:22" ht="15" customHeight="1" thickBot="1">
      <c r="A144" s="1156"/>
      <c r="B144" s="1158"/>
      <c r="C144" s="1112"/>
      <c r="D144" s="1274"/>
      <c r="E144" s="1275"/>
      <c r="F144" s="1278"/>
      <c r="G144" s="1209"/>
      <c r="H144" s="683" t="s">
        <v>20</v>
      </c>
      <c r="I144" s="367">
        <f aca="true" t="shared" si="37" ref="I144:V144">SUM(I142:I143)</f>
        <v>137.1</v>
      </c>
      <c r="J144" s="368">
        <f t="shared" si="37"/>
        <v>137.1</v>
      </c>
      <c r="K144" s="369">
        <f t="shared" si="37"/>
        <v>0</v>
      </c>
      <c r="L144" s="370">
        <f t="shared" si="37"/>
        <v>0</v>
      </c>
      <c r="M144" s="367">
        <f t="shared" si="37"/>
        <v>5736.5</v>
      </c>
      <c r="N144" s="368">
        <f t="shared" si="37"/>
        <v>5736.5</v>
      </c>
      <c r="O144" s="369">
        <f t="shared" si="37"/>
        <v>0</v>
      </c>
      <c r="P144" s="370">
        <f t="shared" si="37"/>
        <v>0</v>
      </c>
      <c r="Q144" s="367">
        <f t="shared" si="37"/>
        <v>871.6</v>
      </c>
      <c r="R144" s="368">
        <f t="shared" si="37"/>
        <v>871.6</v>
      </c>
      <c r="S144" s="369">
        <f t="shared" si="37"/>
        <v>0</v>
      </c>
      <c r="T144" s="370">
        <f t="shared" si="37"/>
        <v>0</v>
      </c>
      <c r="U144" s="372">
        <f t="shared" si="37"/>
        <v>303</v>
      </c>
      <c r="V144" s="372">
        <f t="shared" si="37"/>
        <v>303</v>
      </c>
    </row>
    <row r="145" spans="1:22" ht="15" customHeight="1">
      <c r="A145" s="1155" t="s">
        <v>8</v>
      </c>
      <c r="B145" s="1157" t="s">
        <v>10</v>
      </c>
      <c r="C145" s="1159" t="s">
        <v>8</v>
      </c>
      <c r="D145" s="1273" t="s">
        <v>183</v>
      </c>
      <c r="E145" s="1270" t="s">
        <v>156</v>
      </c>
      <c r="F145" s="1204" t="s">
        <v>12</v>
      </c>
      <c r="G145" s="1207" t="s">
        <v>145</v>
      </c>
      <c r="H145" s="592" t="s">
        <v>11</v>
      </c>
      <c r="I145" s="165">
        <f>J145+L145</f>
        <v>0</v>
      </c>
      <c r="J145" s="162"/>
      <c r="K145" s="199"/>
      <c r="L145" s="163"/>
      <c r="M145" s="165">
        <f>N145+P145</f>
        <v>70</v>
      </c>
      <c r="N145" s="162">
        <v>70</v>
      </c>
      <c r="O145" s="162"/>
      <c r="P145" s="163"/>
      <c r="Q145" s="374">
        <f>R145+T145</f>
        <v>15</v>
      </c>
      <c r="R145" s="375">
        <v>15</v>
      </c>
      <c r="S145" s="381"/>
      <c r="T145" s="376"/>
      <c r="U145" s="168"/>
      <c r="V145" s="189"/>
    </row>
    <row r="146" spans="1:22" ht="15" customHeight="1">
      <c r="A146" s="1134"/>
      <c r="B146" s="1108"/>
      <c r="C146" s="1111"/>
      <c r="D146" s="1268"/>
      <c r="E146" s="1271"/>
      <c r="F146" s="1205"/>
      <c r="G146" s="1208"/>
      <c r="H146" s="595"/>
      <c r="I146" s="170">
        <f>J146+L146</f>
        <v>0</v>
      </c>
      <c r="J146" s="171"/>
      <c r="K146" s="200"/>
      <c r="L146" s="172"/>
      <c r="M146" s="170">
        <f>N146+P146</f>
        <v>0</v>
      </c>
      <c r="N146" s="171"/>
      <c r="O146" s="171"/>
      <c r="P146" s="172"/>
      <c r="Q146" s="377">
        <f>R146+T146</f>
        <v>0</v>
      </c>
      <c r="R146" s="396"/>
      <c r="S146" s="669"/>
      <c r="T146" s="397"/>
      <c r="U146" s="579"/>
      <c r="V146" s="191"/>
    </row>
    <row r="147" spans="1:22" ht="15" customHeight="1" thickBot="1">
      <c r="A147" s="1156"/>
      <c r="B147" s="1158"/>
      <c r="C147" s="1160"/>
      <c r="D147" s="1274"/>
      <c r="E147" s="1272"/>
      <c r="F147" s="1206"/>
      <c r="G147" s="1209"/>
      <c r="H147" s="682" t="s">
        <v>20</v>
      </c>
      <c r="I147" s="367">
        <f aca="true" t="shared" si="38" ref="I147:V147">SUM(I145:I146)</f>
        <v>0</v>
      </c>
      <c r="J147" s="368">
        <f t="shared" si="38"/>
        <v>0</v>
      </c>
      <c r="K147" s="369">
        <f t="shared" si="38"/>
        <v>0</v>
      </c>
      <c r="L147" s="370">
        <f t="shared" si="38"/>
        <v>0</v>
      </c>
      <c r="M147" s="367">
        <f t="shared" si="38"/>
        <v>70</v>
      </c>
      <c r="N147" s="368">
        <f t="shared" si="38"/>
        <v>70</v>
      </c>
      <c r="O147" s="369">
        <f t="shared" si="38"/>
        <v>0</v>
      </c>
      <c r="P147" s="370">
        <f t="shared" si="38"/>
        <v>0</v>
      </c>
      <c r="Q147" s="367">
        <f t="shared" si="38"/>
        <v>15</v>
      </c>
      <c r="R147" s="368">
        <f t="shared" si="38"/>
        <v>15</v>
      </c>
      <c r="S147" s="369">
        <f t="shared" si="38"/>
        <v>0</v>
      </c>
      <c r="T147" s="370">
        <f t="shared" si="38"/>
        <v>0</v>
      </c>
      <c r="U147" s="371">
        <f t="shared" si="38"/>
        <v>0</v>
      </c>
      <c r="V147" s="372">
        <f t="shared" si="38"/>
        <v>0</v>
      </c>
    </row>
    <row r="148" spans="1:22" ht="15" customHeight="1" thickBot="1">
      <c r="A148" s="1279" t="s">
        <v>173</v>
      </c>
      <c r="B148" s="1280"/>
      <c r="C148" s="1280"/>
      <c r="D148" s="1280"/>
      <c r="E148" s="1280"/>
      <c r="F148" s="1280"/>
      <c r="G148" s="1280"/>
      <c r="H148" s="1281"/>
      <c r="I148" s="528"/>
      <c r="J148" s="537"/>
      <c r="K148" s="529"/>
      <c r="L148" s="530"/>
      <c r="M148" s="714">
        <f>SUM(M147,M144,M141,M138,M134)</f>
        <v>22769</v>
      </c>
      <c r="N148" s="713">
        <f aca="true" t="shared" si="39" ref="N148:V148">SUM(N147,N144,N141,N138,N134)</f>
        <v>22769</v>
      </c>
      <c r="O148" s="713">
        <f t="shared" si="39"/>
        <v>0</v>
      </c>
      <c r="P148" s="712">
        <f t="shared" si="39"/>
        <v>0</v>
      </c>
      <c r="Q148" s="714">
        <f t="shared" si="39"/>
        <v>17421.7</v>
      </c>
      <c r="R148" s="713">
        <f t="shared" si="39"/>
        <v>17421.7</v>
      </c>
      <c r="S148" s="713">
        <f t="shared" si="39"/>
        <v>0</v>
      </c>
      <c r="T148" s="712">
        <f t="shared" si="39"/>
        <v>0</v>
      </c>
      <c r="U148" s="528">
        <f t="shared" si="39"/>
        <v>16072.2</v>
      </c>
      <c r="V148" s="528">
        <f t="shared" si="39"/>
        <v>16072.2</v>
      </c>
    </row>
    <row r="149" spans="1:22" ht="15" customHeight="1">
      <c r="A149" s="1133" t="s">
        <v>8</v>
      </c>
      <c r="B149" s="1157" t="s">
        <v>10</v>
      </c>
      <c r="C149" s="1282" t="s">
        <v>9</v>
      </c>
      <c r="D149" s="1285" t="s">
        <v>54</v>
      </c>
      <c r="E149" s="1287" t="s">
        <v>22</v>
      </c>
      <c r="F149" s="1290" t="s">
        <v>12</v>
      </c>
      <c r="G149" s="1293" t="s">
        <v>144</v>
      </c>
      <c r="H149" s="597" t="s">
        <v>11</v>
      </c>
      <c r="I149" s="184">
        <f>J149+L149</f>
        <v>0</v>
      </c>
      <c r="J149" s="162"/>
      <c r="K149" s="162"/>
      <c r="L149" s="163"/>
      <c r="M149" s="184">
        <f>N149+P149</f>
        <v>0</v>
      </c>
      <c r="N149" s="162"/>
      <c r="O149" s="162"/>
      <c r="P149" s="163"/>
      <c r="Q149" s="394">
        <f>R149+T149</f>
        <v>0</v>
      </c>
      <c r="R149" s="375"/>
      <c r="S149" s="375"/>
      <c r="T149" s="376"/>
      <c r="U149" s="169"/>
      <c r="V149" s="169"/>
    </row>
    <row r="150" spans="1:22" ht="15" customHeight="1">
      <c r="A150" s="1134"/>
      <c r="B150" s="1108"/>
      <c r="C150" s="1283"/>
      <c r="D150" s="1249"/>
      <c r="E150" s="1288"/>
      <c r="F150" s="1291"/>
      <c r="G150" s="1294"/>
      <c r="H150" s="598" t="s">
        <v>18</v>
      </c>
      <c r="I150" s="185">
        <f>J150+L150</f>
        <v>0</v>
      </c>
      <c r="J150" s="171"/>
      <c r="K150" s="171"/>
      <c r="L150" s="172"/>
      <c r="M150" s="185">
        <f>N150+P150</f>
        <v>7875</v>
      </c>
      <c r="N150" s="171"/>
      <c r="O150" s="171"/>
      <c r="P150" s="172">
        <v>7875</v>
      </c>
      <c r="Q150" s="395">
        <f>R150+T150</f>
        <v>7875</v>
      </c>
      <c r="R150" s="396"/>
      <c r="S150" s="396"/>
      <c r="T150" s="397">
        <v>7875</v>
      </c>
      <c r="U150" s="173"/>
      <c r="V150" s="173"/>
    </row>
    <row r="151" spans="1:22" ht="15" customHeight="1">
      <c r="A151" s="1134"/>
      <c r="B151" s="1108"/>
      <c r="C151" s="1283"/>
      <c r="D151" s="1249"/>
      <c r="E151" s="1288"/>
      <c r="F151" s="1291"/>
      <c r="G151" s="1294"/>
      <c r="H151" s="599" t="s">
        <v>30</v>
      </c>
      <c r="I151" s="187">
        <f>J151+L151</f>
        <v>0</v>
      </c>
      <c r="J151" s="196"/>
      <c r="K151" s="196"/>
      <c r="L151" s="197"/>
      <c r="M151" s="187">
        <f>N151+P151</f>
        <v>3289.7</v>
      </c>
      <c r="N151" s="196"/>
      <c r="O151" s="196"/>
      <c r="P151" s="197">
        <v>3289.7</v>
      </c>
      <c r="Q151" s="398">
        <f>R151+T151</f>
        <v>3289.7</v>
      </c>
      <c r="R151" s="392"/>
      <c r="S151" s="392"/>
      <c r="T151" s="393">
        <v>3289.7</v>
      </c>
      <c r="U151" s="186"/>
      <c r="V151" s="186"/>
    </row>
    <row r="152" spans="1:22" ht="15" customHeight="1" thickBot="1">
      <c r="A152" s="1135"/>
      <c r="B152" s="1158"/>
      <c r="C152" s="1284"/>
      <c r="D152" s="1286"/>
      <c r="E152" s="1289"/>
      <c r="F152" s="1292"/>
      <c r="G152" s="1295"/>
      <c r="H152" s="684" t="s">
        <v>20</v>
      </c>
      <c r="I152" s="664">
        <f aca="true" t="shared" si="40" ref="I152:V152">SUM(I149:I151)</f>
        <v>0</v>
      </c>
      <c r="J152" s="665">
        <f t="shared" si="40"/>
        <v>0</v>
      </c>
      <c r="K152" s="665">
        <f t="shared" si="40"/>
        <v>0</v>
      </c>
      <c r="L152" s="666">
        <f t="shared" si="40"/>
        <v>0</v>
      </c>
      <c r="M152" s="664">
        <f t="shared" si="40"/>
        <v>11164.7</v>
      </c>
      <c r="N152" s="665">
        <f t="shared" si="40"/>
        <v>0</v>
      </c>
      <c r="O152" s="665">
        <f t="shared" si="40"/>
        <v>0</v>
      </c>
      <c r="P152" s="666">
        <f t="shared" si="40"/>
        <v>11164.7</v>
      </c>
      <c r="Q152" s="664">
        <f t="shared" si="40"/>
        <v>11164.7</v>
      </c>
      <c r="R152" s="665">
        <f t="shared" si="40"/>
        <v>0</v>
      </c>
      <c r="S152" s="665">
        <f t="shared" si="40"/>
        <v>0</v>
      </c>
      <c r="T152" s="666">
        <f t="shared" si="40"/>
        <v>11164.7</v>
      </c>
      <c r="U152" s="667">
        <f t="shared" si="40"/>
        <v>0</v>
      </c>
      <c r="V152" s="667">
        <f t="shared" si="40"/>
        <v>0</v>
      </c>
    </row>
    <row r="153" spans="1:22" ht="15" customHeight="1" thickBot="1">
      <c r="A153" s="507" t="s">
        <v>8</v>
      </c>
      <c r="B153" s="508" t="s">
        <v>10</v>
      </c>
      <c r="C153" s="1251" t="s">
        <v>19</v>
      </c>
      <c r="D153" s="1252"/>
      <c r="E153" s="1252"/>
      <c r="F153" s="1252"/>
      <c r="G153" s="1252"/>
      <c r="H153" s="1252"/>
      <c r="I153" s="576">
        <f>SUM(I177,I173,I147,I144,I170,I152,I166,I163,I141,I138,I160,I134)</f>
        <v>17274.6</v>
      </c>
      <c r="J153" s="576">
        <f>SUM(J177,J173,J147,J144,J170,J152,J166,J163,J141,J138,J160,J134)</f>
        <v>17274.6</v>
      </c>
      <c r="K153" s="576">
        <f>SUM(K177,K173,K147,K144,K170,K152,K166,K163,K141,K138,K160,K134)</f>
        <v>0</v>
      </c>
      <c r="L153" s="576">
        <f>SUM(L177,L173,L147,L144,L170,L152,L166,L163,L141,L138,L160,L134)</f>
        <v>0</v>
      </c>
      <c r="M153" s="576">
        <f>SUM(M134,M138,M141,M144,M147,M152)</f>
        <v>33933.7</v>
      </c>
      <c r="N153" s="744">
        <f aca="true" t="shared" si="41" ref="N153:V153">SUM(N134,N138,N141,N144,N147,N152)</f>
        <v>22769</v>
      </c>
      <c r="O153" s="744">
        <f t="shared" si="41"/>
        <v>0</v>
      </c>
      <c r="P153" s="752">
        <f t="shared" si="41"/>
        <v>11164.7</v>
      </c>
      <c r="Q153" s="576">
        <f t="shared" si="41"/>
        <v>28586.4</v>
      </c>
      <c r="R153" s="744">
        <f t="shared" si="41"/>
        <v>17421.7</v>
      </c>
      <c r="S153" s="744">
        <f t="shared" si="41"/>
        <v>0</v>
      </c>
      <c r="T153" s="752">
        <f t="shared" si="41"/>
        <v>11164.7</v>
      </c>
      <c r="U153" s="576">
        <f t="shared" si="41"/>
        <v>16072.2</v>
      </c>
      <c r="V153" s="576">
        <f t="shared" si="41"/>
        <v>16072.2</v>
      </c>
    </row>
    <row r="154" spans="1:22" ht="15" customHeight="1" thickBot="1">
      <c r="A154" s="517" t="s">
        <v>8</v>
      </c>
      <c r="B154" s="518" t="s">
        <v>12</v>
      </c>
      <c r="C154" s="1296" t="s">
        <v>180</v>
      </c>
      <c r="D154" s="1297"/>
      <c r="E154" s="1297"/>
      <c r="F154" s="1297"/>
      <c r="G154" s="1297"/>
      <c r="H154" s="1297"/>
      <c r="I154" s="1297"/>
      <c r="J154" s="1297"/>
      <c r="K154" s="1297"/>
      <c r="L154" s="1298"/>
      <c r="M154" s="1298"/>
      <c r="N154" s="1298"/>
      <c r="O154" s="1298"/>
      <c r="P154" s="1298"/>
      <c r="Q154" s="1298"/>
      <c r="R154" s="600"/>
      <c r="S154" s="600"/>
      <c r="T154" s="600"/>
      <c r="U154" s="600"/>
      <c r="V154" s="601"/>
    </row>
    <row r="155" spans="1:22" ht="15" customHeight="1">
      <c r="A155" s="1155" t="s">
        <v>8</v>
      </c>
      <c r="B155" s="1157" t="s">
        <v>12</v>
      </c>
      <c r="C155" s="1159" t="s">
        <v>8</v>
      </c>
      <c r="D155" s="1273" t="s">
        <v>267</v>
      </c>
      <c r="E155" s="1201" t="s">
        <v>268</v>
      </c>
      <c r="F155" s="1204" t="s">
        <v>12</v>
      </c>
      <c r="G155" s="1207" t="s">
        <v>145</v>
      </c>
      <c r="H155" s="602" t="s">
        <v>53</v>
      </c>
      <c r="I155" s="184">
        <f>J155+L155</f>
        <v>651.5</v>
      </c>
      <c r="J155" s="162">
        <v>651.5</v>
      </c>
      <c r="K155" s="162"/>
      <c r="L155" s="163"/>
      <c r="M155" s="184">
        <f>N155+P155</f>
        <v>1100</v>
      </c>
      <c r="N155" s="179">
        <v>1100</v>
      </c>
      <c r="O155" s="162"/>
      <c r="P155" s="163"/>
      <c r="Q155" s="394">
        <f>R155+T155</f>
        <v>671.2</v>
      </c>
      <c r="R155" s="375">
        <f>528.4+142.8</f>
        <v>671.2</v>
      </c>
      <c r="S155" s="375"/>
      <c r="T155" s="376"/>
      <c r="U155" s="168">
        <v>601.5</v>
      </c>
      <c r="V155" s="189">
        <v>601.5</v>
      </c>
    </row>
    <row r="156" spans="1:22" ht="15" customHeight="1">
      <c r="A156" s="1299"/>
      <c r="B156" s="1233"/>
      <c r="C156" s="1300"/>
      <c r="D156" s="1301"/>
      <c r="E156" s="1202"/>
      <c r="F156" s="1205"/>
      <c r="G156" s="1208"/>
      <c r="H156" s="603" t="s">
        <v>11</v>
      </c>
      <c r="I156" s="187">
        <f>J156+L156</f>
        <v>0</v>
      </c>
      <c r="J156" s="171"/>
      <c r="K156" s="200"/>
      <c r="L156" s="172"/>
      <c r="M156" s="187">
        <f>N156+P156</f>
        <v>917.7</v>
      </c>
      <c r="N156" s="171">
        <f>324.4+253.3</f>
        <v>577.7</v>
      </c>
      <c r="O156" s="171"/>
      <c r="P156" s="172">
        <v>340</v>
      </c>
      <c r="Q156" s="398">
        <f>R156+T156</f>
        <v>46.19999999999999</v>
      </c>
      <c r="R156" s="396">
        <f>191.2-145</f>
        <v>46.19999999999999</v>
      </c>
      <c r="S156" s="669"/>
      <c r="T156" s="397"/>
      <c r="U156" s="579">
        <v>191.2</v>
      </c>
      <c r="V156" s="191">
        <v>191.2</v>
      </c>
    </row>
    <row r="157" spans="1:22" ht="15" customHeight="1" thickBot="1">
      <c r="A157" s="1156"/>
      <c r="B157" s="1158"/>
      <c r="C157" s="1300"/>
      <c r="D157" s="1301"/>
      <c r="E157" s="1203"/>
      <c r="F157" s="1206"/>
      <c r="G157" s="1209"/>
      <c r="H157" s="691" t="s">
        <v>20</v>
      </c>
      <c r="I157" s="664">
        <f aca="true" t="shared" si="42" ref="I157:V157">SUM(I155:I156)</f>
        <v>651.5</v>
      </c>
      <c r="J157" s="665">
        <f t="shared" si="42"/>
        <v>651.5</v>
      </c>
      <c r="K157" s="665">
        <f t="shared" si="42"/>
        <v>0</v>
      </c>
      <c r="L157" s="666">
        <f t="shared" si="42"/>
        <v>0</v>
      </c>
      <c r="M157" s="664">
        <f t="shared" si="42"/>
        <v>2017.7</v>
      </c>
      <c r="N157" s="665">
        <f t="shared" si="42"/>
        <v>1677.7</v>
      </c>
      <c r="O157" s="665">
        <f t="shared" si="42"/>
        <v>0</v>
      </c>
      <c r="P157" s="666">
        <f t="shared" si="42"/>
        <v>340</v>
      </c>
      <c r="Q157" s="664">
        <f t="shared" si="42"/>
        <v>717.4000000000001</v>
      </c>
      <c r="R157" s="665">
        <f t="shared" si="42"/>
        <v>717.4000000000001</v>
      </c>
      <c r="S157" s="665">
        <f t="shared" si="42"/>
        <v>0</v>
      </c>
      <c r="T157" s="666">
        <f t="shared" si="42"/>
        <v>0</v>
      </c>
      <c r="U157" s="692">
        <f t="shared" si="42"/>
        <v>792.7</v>
      </c>
      <c r="V157" s="667">
        <f t="shared" si="42"/>
        <v>792.7</v>
      </c>
    </row>
    <row r="158" spans="1:22" ht="15" customHeight="1">
      <c r="A158" s="26" t="s">
        <v>8</v>
      </c>
      <c r="B158" s="23" t="s">
        <v>12</v>
      </c>
      <c r="C158" s="1110" t="s">
        <v>9</v>
      </c>
      <c r="D158" s="1144" t="s">
        <v>269</v>
      </c>
      <c r="E158" s="1270" t="s">
        <v>135</v>
      </c>
      <c r="F158" s="1204" t="s">
        <v>12</v>
      </c>
      <c r="G158" s="1207" t="s">
        <v>145</v>
      </c>
      <c r="H158" s="604" t="s">
        <v>11</v>
      </c>
      <c r="I158" s="174">
        <f>J158+L158</f>
        <v>1514.3</v>
      </c>
      <c r="J158" s="175">
        <v>1514.3</v>
      </c>
      <c r="K158" s="175"/>
      <c r="L158" s="176"/>
      <c r="M158" s="174">
        <f>N158+P158</f>
        <v>1374.3</v>
      </c>
      <c r="N158" s="175">
        <v>1374.3</v>
      </c>
      <c r="O158" s="175"/>
      <c r="P158" s="176"/>
      <c r="Q158" s="387">
        <f>R158+T158</f>
        <v>1374.3</v>
      </c>
      <c r="R158" s="388">
        <v>1374.3</v>
      </c>
      <c r="S158" s="388"/>
      <c r="T158" s="389"/>
      <c r="U158" s="605">
        <v>1374.3</v>
      </c>
      <c r="V158" s="177">
        <v>1374.3</v>
      </c>
    </row>
    <row r="159" spans="1:22" ht="15" customHeight="1">
      <c r="A159" s="26"/>
      <c r="B159" s="23"/>
      <c r="C159" s="1111"/>
      <c r="D159" s="1145"/>
      <c r="E159" s="1271"/>
      <c r="F159" s="1205"/>
      <c r="G159" s="1208"/>
      <c r="H159" s="606"/>
      <c r="I159" s="178"/>
      <c r="J159" s="179"/>
      <c r="K159" s="179"/>
      <c r="L159" s="180"/>
      <c r="M159" s="181"/>
      <c r="N159" s="179"/>
      <c r="O159" s="179"/>
      <c r="P159" s="180"/>
      <c r="Q159" s="380"/>
      <c r="R159" s="378"/>
      <c r="S159" s="378"/>
      <c r="T159" s="379"/>
      <c r="U159" s="182"/>
      <c r="V159" s="183"/>
    </row>
    <row r="160" spans="1:22" ht="15" customHeight="1" thickBot="1">
      <c r="A160" s="517"/>
      <c r="B160" s="518"/>
      <c r="C160" s="1112"/>
      <c r="D160" s="1257"/>
      <c r="E160" s="1272"/>
      <c r="F160" s="1206"/>
      <c r="G160" s="1209"/>
      <c r="H160" s="682" t="s">
        <v>20</v>
      </c>
      <c r="I160" s="385">
        <f aca="true" t="shared" si="43" ref="I160:V160">SUM(I158:I159)</f>
        <v>1514.3</v>
      </c>
      <c r="J160" s="369">
        <f t="shared" si="43"/>
        <v>1514.3</v>
      </c>
      <c r="K160" s="369">
        <f t="shared" si="43"/>
        <v>0</v>
      </c>
      <c r="L160" s="384">
        <f t="shared" si="43"/>
        <v>0</v>
      </c>
      <c r="M160" s="385">
        <f t="shared" si="43"/>
        <v>1374.3</v>
      </c>
      <c r="N160" s="369">
        <f t="shared" si="43"/>
        <v>1374.3</v>
      </c>
      <c r="O160" s="369">
        <f t="shared" si="43"/>
        <v>0</v>
      </c>
      <c r="P160" s="384">
        <f t="shared" si="43"/>
        <v>0</v>
      </c>
      <c r="Q160" s="385">
        <f t="shared" si="43"/>
        <v>1374.3</v>
      </c>
      <c r="R160" s="369">
        <f t="shared" si="43"/>
        <v>1374.3</v>
      </c>
      <c r="S160" s="369">
        <f t="shared" si="43"/>
        <v>0</v>
      </c>
      <c r="T160" s="384">
        <f t="shared" si="43"/>
        <v>0</v>
      </c>
      <c r="U160" s="367">
        <f t="shared" si="43"/>
        <v>1374.3</v>
      </c>
      <c r="V160" s="372">
        <f t="shared" si="43"/>
        <v>1374.3</v>
      </c>
    </row>
    <row r="161" spans="1:22" ht="15" customHeight="1">
      <c r="A161" s="1133" t="s">
        <v>8</v>
      </c>
      <c r="B161" s="1107" t="s">
        <v>12</v>
      </c>
      <c r="C161" s="1110" t="s">
        <v>10</v>
      </c>
      <c r="D161" s="1302" t="s">
        <v>188</v>
      </c>
      <c r="E161" s="607" t="s">
        <v>135</v>
      </c>
      <c r="F161" s="1204" t="s">
        <v>12</v>
      </c>
      <c r="G161" s="1207" t="s">
        <v>144</v>
      </c>
      <c r="H161" s="608"/>
      <c r="I161" s="165">
        <f>J161+L161</f>
        <v>0</v>
      </c>
      <c r="J161" s="188"/>
      <c r="K161" s="188"/>
      <c r="L161" s="192"/>
      <c r="M161" s="165">
        <f>N161+P161</f>
        <v>0</v>
      </c>
      <c r="N161" s="193"/>
      <c r="O161" s="193"/>
      <c r="P161" s="194"/>
      <c r="Q161" s="374">
        <f>R161+T161</f>
        <v>0</v>
      </c>
      <c r="R161" s="390"/>
      <c r="S161" s="390"/>
      <c r="T161" s="391"/>
      <c r="U161" s="195"/>
      <c r="V161" s="195"/>
    </row>
    <row r="162" spans="1:22" ht="15" customHeight="1">
      <c r="A162" s="1134"/>
      <c r="B162" s="1108"/>
      <c r="C162" s="1111"/>
      <c r="D162" s="1303"/>
      <c r="E162" s="594"/>
      <c r="F162" s="1205"/>
      <c r="G162" s="1208"/>
      <c r="H162" s="609" t="s">
        <v>30</v>
      </c>
      <c r="I162" s="170">
        <f>J162+L162</f>
        <v>0</v>
      </c>
      <c r="J162" s="196"/>
      <c r="K162" s="196"/>
      <c r="L162" s="197"/>
      <c r="M162" s="170">
        <f>N162+P162</f>
        <v>0</v>
      </c>
      <c r="N162" s="193"/>
      <c r="O162" s="193"/>
      <c r="P162" s="194"/>
      <c r="Q162" s="377">
        <f>R162+T162</f>
        <v>100</v>
      </c>
      <c r="R162" s="392"/>
      <c r="S162" s="392"/>
      <c r="T162" s="393">
        <v>100</v>
      </c>
      <c r="U162" s="520">
        <v>70</v>
      </c>
      <c r="V162" s="198"/>
    </row>
    <row r="163" spans="1:22" ht="15" customHeight="1" thickBot="1">
      <c r="A163" s="1135"/>
      <c r="B163" s="1109"/>
      <c r="C163" s="1112"/>
      <c r="D163" s="1304"/>
      <c r="E163" s="610" t="s">
        <v>22</v>
      </c>
      <c r="F163" s="1206"/>
      <c r="G163" s="1209"/>
      <c r="H163" s="693" t="s">
        <v>20</v>
      </c>
      <c r="I163" s="367">
        <f aca="true" t="shared" si="44" ref="I163:V163">SUM(I161:I162)</f>
        <v>0</v>
      </c>
      <c r="J163" s="368">
        <f t="shared" si="44"/>
        <v>0</v>
      </c>
      <c r="K163" s="369">
        <f t="shared" si="44"/>
        <v>0</v>
      </c>
      <c r="L163" s="370">
        <f t="shared" si="44"/>
        <v>0</v>
      </c>
      <c r="M163" s="367">
        <f t="shared" si="44"/>
        <v>0</v>
      </c>
      <c r="N163" s="368">
        <f t="shared" si="44"/>
        <v>0</v>
      </c>
      <c r="O163" s="369">
        <f t="shared" si="44"/>
        <v>0</v>
      </c>
      <c r="P163" s="370">
        <f t="shared" si="44"/>
        <v>0</v>
      </c>
      <c r="Q163" s="367">
        <f t="shared" si="44"/>
        <v>100</v>
      </c>
      <c r="R163" s="368">
        <f t="shared" si="44"/>
        <v>0</v>
      </c>
      <c r="S163" s="369">
        <f t="shared" si="44"/>
        <v>0</v>
      </c>
      <c r="T163" s="370">
        <f t="shared" si="44"/>
        <v>100</v>
      </c>
      <c r="U163" s="372">
        <f t="shared" si="44"/>
        <v>70</v>
      </c>
      <c r="V163" s="372">
        <f t="shared" si="44"/>
        <v>0</v>
      </c>
    </row>
    <row r="164" spans="1:22" ht="15" customHeight="1">
      <c r="A164" s="1133" t="s">
        <v>8</v>
      </c>
      <c r="B164" s="1107" t="s">
        <v>12</v>
      </c>
      <c r="C164" s="1110" t="s">
        <v>12</v>
      </c>
      <c r="D164" s="1305" t="s">
        <v>151</v>
      </c>
      <c r="E164" s="607" t="s">
        <v>135</v>
      </c>
      <c r="F164" s="1204" t="s">
        <v>12</v>
      </c>
      <c r="G164" s="1207" t="s">
        <v>144</v>
      </c>
      <c r="H164" s="608"/>
      <c r="I164" s="165">
        <f>J164+L164</f>
        <v>0</v>
      </c>
      <c r="J164" s="188"/>
      <c r="K164" s="188"/>
      <c r="L164" s="192"/>
      <c r="M164" s="165">
        <f>N164+P164</f>
        <v>0</v>
      </c>
      <c r="N164" s="193"/>
      <c r="O164" s="193"/>
      <c r="P164" s="194"/>
      <c r="Q164" s="374">
        <f>R164+T164</f>
        <v>0</v>
      </c>
      <c r="R164" s="390"/>
      <c r="S164" s="390"/>
      <c r="T164" s="391"/>
      <c r="U164" s="195"/>
      <c r="V164" s="195"/>
    </row>
    <row r="165" spans="1:22" ht="15" customHeight="1">
      <c r="A165" s="1134"/>
      <c r="B165" s="1108"/>
      <c r="C165" s="1111"/>
      <c r="D165" s="1306"/>
      <c r="E165" s="594"/>
      <c r="F165" s="1205"/>
      <c r="G165" s="1208"/>
      <c r="H165" s="609" t="s">
        <v>30</v>
      </c>
      <c r="I165" s="170">
        <f>J165+L165</f>
        <v>0</v>
      </c>
      <c r="J165" s="196"/>
      <c r="K165" s="196"/>
      <c r="L165" s="197"/>
      <c r="M165" s="170">
        <f>N165+P165</f>
        <v>100</v>
      </c>
      <c r="N165" s="193"/>
      <c r="O165" s="193"/>
      <c r="P165" s="194">
        <v>100</v>
      </c>
      <c r="Q165" s="377">
        <f>R165+T165</f>
        <v>0</v>
      </c>
      <c r="R165" s="392"/>
      <c r="S165" s="392"/>
      <c r="T165" s="393"/>
      <c r="U165" s="520"/>
      <c r="V165" s="198">
        <v>440</v>
      </c>
    </row>
    <row r="166" spans="1:22" ht="15" customHeight="1" thickBot="1">
      <c r="A166" s="1135"/>
      <c r="B166" s="1109"/>
      <c r="C166" s="1112"/>
      <c r="D166" s="1307"/>
      <c r="E166" s="610" t="s">
        <v>22</v>
      </c>
      <c r="F166" s="1206"/>
      <c r="G166" s="1209"/>
      <c r="H166" s="693" t="s">
        <v>20</v>
      </c>
      <c r="I166" s="367">
        <f aca="true" t="shared" si="45" ref="I166:V166">SUM(I164:I165)</f>
        <v>0</v>
      </c>
      <c r="J166" s="368">
        <f t="shared" si="45"/>
        <v>0</v>
      </c>
      <c r="K166" s="369">
        <f t="shared" si="45"/>
        <v>0</v>
      </c>
      <c r="L166" s="370">
        <f t="shared" si="45"/>
        <v>0</v>
      </c>
      <c r="M166" s="367">
        <f t="shared" si="45"/>
        <v>100</v>
      </c>
      <c r="N166" s="368">
        <f t="shared" si="45"/>
        <v>0</v>
      </c>
      <c r="O166" s="369">
        <f t="shared" si="45"/>
        <v>0</v>
      </c>
      <c r="P166" s="370">
        <f t="shared" si="45"/>
        <v>100</v>
      </c>
      <c r="Q166" s="367">
        <f t="shared" si="45"/>
        <v>0</v>
      </c>
      <c r="R166" s="368">
        <f t="shared" si="45"/>
        <v>0</v>
      </c>
      <c r="S166" s="369">
        <f t="shared" si="45"/>
        <v>0</v>
      </c>
      <c r="T166" s="370">
        <f t="shared" si="45"/>
        <v>0</v>
      </c>
      <c r="U166" s="372">
        <f t="shared" si="45"/>
        <v>0</v>
      </c>
      <c r="V166" s="372">
        <f t="shared" si="45"/>
        <v>440</v>
      </c>
    </row>
    <row r="167" spans="1:22" ht="15" customHeight="1">
      <c r="A167" s="1133" t="s">
        <v>8</v>
      </c>
      <c r="B167" s="1157" t="s">
        <v>12</v>
      </c>
      <c r="C167" s="1308" t="s">
        <v>38</v>
      </c>
      <c r="D167" s="1198" t="s">
        <v>270</v>
      </c>
      <c r="E167" s="1313" t="s">
        <v>134</v>
      </c>
      <c r="F167" s="1290" t="s">
        <v>12</v>
      </c>
      <c r="G167" s="1293" t="s">
        <v>144</v>
      </c>
      <c r="H167" s="597" t="s">
        <v>11</v>
      </c>
      <c r="I167" s="184">
        <f>J167+L167</f>
        <v>0</v>
      </c>
      <c r="J167" s="162"/>
      <c r="K167" s="162"/>
      <c r="L167" s="163"/>
      <c r="M167" s="184">
        <f>N167+P167</f>
        <v>7.3</v>
      </c>
      <c r="N167" s="162"/>
      <c r="O167" s="162"/>
      <c r="P167" s="163">
        <v>7.3</v>
      </c>
      <c r="Q167" s="394">
        <f>R167+T167</f>
        <v>3.8</v>
      </c>
      <c r="R167" s="375">
        <f>7.3-3.5</f>
        <v>3.8</v>
      </c>
      <c r="S167" s="375"/>
      <c r="T167" s="376"/>
      <c r="U167" s="169">
        <v>7.3</v>
      </c>
      <c r="V167" s="169"/>
    </row>
    <row r="168" spans="1:22" ht="15" customHeight="1">
      <c r="A168" s="1134"/>
      <c r="B168" s="1165"/>
      <c r="C168" s="1309"/>
      <c r="D168" s="1311"/>
      <c r="E168" s="1314"/>
      <c r="F168" s="1291"/>
      <c r="G168" s="1294"/>
      <c r="H168" s="599" t="s">
        <v>18</v>
      </c>
      <c r="I168" s="185">
        <f>J168+L168</f>
        <v>0</v>
      </c>
      <c r="J168" s="171"/>
      <c r="K168" s="171"/>
      <c r="L168" s="172"/>
      <c r="M168" s="185">
        <f>N168+P168</f>
        <v>250</v>
      </c>
      <c r="N168" s="171"/>
      <c r="O168" s="171"/>
      <c r="P168" s="172">
        <v>250</v>
      </c>
      <c r="Q168" s="395">
        <f>R168+T168</f>
        <v>250</v>
      </c>
      <c r="R168" s="396">
        <v>250</v>
      </c>
      <c r="S168" s="396"/>
      <c r="T168" s="397"/>
      <c r="U168" s="173">
        <v>250</v>
      </c>
      <c r="V168" s="173"/>
    </row>
    <row r="169" spans="1:22" ht="15" customHeight="1">
      <c r="A169" s="1134"/>
      <c r="B169" s="1166"/>
      <c r="C169" s="1309"/>
      <c r="D169" s="1312"/>
      <c r="E169" s="1314"/>
      <c r="F169" s="1291"/>
      <c r="G169" s="1294"/>
      <c r="H169" s="598" t="s">
        <v>30</v>
      </c>
      <c r="I169" s="187">
        <f>J169+L169</f>
        <v>0</v>
      </c>
      <c r="J169" s="196"/>
      <c r="K169" s="196"/>
      <c r="L169" s="197"/>
      <c r="M169" s="187">
        <f>N169+P169</f>
        <v>36.8</v>
      </c>
      <c r="N169" s="196"/>
      <c r="O169" s="196"/>
      <c r="P169" s="197">
        <v>36.8</v>
      </c>
      <c r="Q169" s="398">
        <f>R169+T169</f>
        <v>36.8</v>
      </c>
      <c r="R169" s="392">
        <v>36.8</v>
      </c>
      <c r="S169" s="392"/>
      <c r="T169" s="393"/>
      <c r="U169" s="186">
        <v>36.8</v>
      </c>
      <c r="V169" s="186"/>
    </row>
    <row r="170" spans="1:22" ht="15" customHeight="1" thickBot="1">
      <c r="A170" s="1135"/>
      <c r="B170" s="1158"/>
      <c r="C170" s="1310"/>
      <c r="D170" s="1200"/>
      <c r="E170" s="1315"/>
      <c r="F170" s="1292"/>
      <c r="G170" s="1295"/>
      <c r="H170" s="684" t="s">
        <v>20</v>
      </c>
      <c r="I170" s="664">
        <f aca="true" t="shared" si="46" ref="I170:V170">SUM(I167:I169)</f>
        <v>0</v>
      </c>
      <c r="J170" s="665">
        <f t="shared" si="46"/>
        <v>0</v>
      </c>
      <c r="K170" s="665">
        <f t="shared" si="46"/>
        <v>0</v>
      </c>
      <c r="L170" s="666">
        <f t="shared" si="46"/>
        <v>0</v>
      </c>
      <c r="M170" s="664">
        <f t="shared" si="46"/>
        <v>294.1</v>
      </c>
      <c r="N170" s="665">
        <f t="shared" si="46"/>
        <v>0</v>
      </c>
      <c r="O170" s="665">
        <f t="shared" si="46"/>
        <v>0</v>
      </c>
      <c r="P170" s="666">
        <f t="shared" si="46"/>
        <v>294.1</v>
      </c>
      <c r="Q170" s="664">
        <f t="shared" si="46"/>
        <v>290.6</v>
      </c>
      <c r="R170" s="665">
        <f t="shared" si="46"/>
        <v>290.6</v>
      </c>
      <c r="S170" s="665">
        <f t="shared" si="46"/>
        <v>0</v>
      </c>
      <c r="T170" s="666">
        <f t="shared" si="46"/>
        <v>0</v>
      </c>
      <c r="U170" s="667">
        <f t="shared" si="46"/>
        <v>294.1</v>
      </c>
      <c r="V170" s="667">
        <f t="shared" si="46"/>
        <v>0</v>
      </c>
    </row>
    <row r="171" spans="1:22" ht="15" customHeight="1">
      <c r="A171" s="1155" t="s">
        <v>8</v>
      </c>
      <c r="B171" s="1157" t="s">
        <v>12</v>
      </c>
      <c r="C171" s="1159" t="s">
        <v>38</v>
      </c>
      <c r="D171" s="1273" t="s">
        <v>175</v>
      </c>
      <c r="E171" s="1270"/>
      <c r="F171" s="1204" t="s">
        <v>12</v>
      </c>
      <c r="G171" s="1207" t="s">
        <v>145</v>
      </c>
      <c r="H171" s="592" t="s">
        <v>11</v>
      </c>
      <c r="I171" s="165">
        <f>J171+L171</f>
        <v>0</v>
      </c>
      <c r="J171" s="162"/>
      <c r="K171" s="199"/>
      <c r="L171" s="163"/>
      <c r="M171" s="165">
        <f>N171+P171</f>
        <v>15</v>
      </c>
      <c r="N171" s="162">
        <v>15</v>
      </c>
      <c r="O171" s="162"/>
      <c r="P171" s="163"/>
      <c r="Q171" s="374">
        <f>R171+T171</f>
        <v>0</v>
      </c>
      <c r="R171" s="375"/>
      <c r="S171" s="381"/>
      <c r="T171" s="376"/>
      <c r="U171" s="168"/>
      <c r="V171" s="189"/>
    </row>
    <row r="172" spans="1:22" ht="15" customHeight="1">
      <c r="A172" s="1134"/>
      <c r="B172" s="1108"/>
      <c r="C172" s="1111"/>
      <c r="D172" s="1268"/>
      <c r="E172" s="1271"/>
      <c r="F172" s="1205"/>
      <c r="G172" s="1208"/>
      <c r="H172" s="595"/>
      <c r="I172" s="170">
        <f>J172+L172</f>
        <v>0</v>
      </c>
      <c r="J172" s="171"/>
      <c r="K172" s="200"/>
      <c r="L172" s="172"/>
      <c r="M172" s="170">
        <f>N172+P172</f>
        <v>0</v>
      </c>
      <c r="N172" s="171"/>
      <c r="O172" s="171"/>
      <c r="P172" s="172"/>
      <c r="Q172" s="377">
        <f>R172+T172</f>
        <v>0</v>
      </c>
      <c r="R172" s="396"/>
      <c r="S172" s="669"/>
      <c r="T172" s="397"/>
      <c r="U172" s="579"/>
      <c r="V172" s="191"/>
    </row>
    <row r="173" spans="1:22" ht="15" customHeight="1" thickBot="1">
      <c r="A173" s="1156"/>
      <c r="B173" s="1158"/>
      <c r="C173" s="1160"/>
      <c r="D173" s="1274"/>
      <c r="E173" s="1272"/>
      <c r="F173" s="1206"/>
      <c r="G173" s="1209"/>
      <c r="H173" s="682" t="s">
        <v>20</v>
      </c>
      <c r="I173" s="367">
        <f aca="true" t="shared" si="47" ref="I173:V173">SUM(I171:I172)</f>
        <v>0</v>
      </c>
      <c r="J173" s="368">
        <f t="shared" si="47"/>
        <v>0</v>
      </c>
      <c r="K173" s="369">
        <f t="shared" si="47"/>
        <v>0</v>
      </c>
      <c r="L173" s="370">
        <f t="shared" si="47"/>
        <v>0</v>
      </c>
      <c r="M173" s="367">
        <f t="shared" si="47"/>
        <v>15</v>
      </c>
      <c r="N173" s="368">
        <f t="shared" si="47"/>
        <v>15</v>
      </c>
      <c r="O173" s="369">
        <f t="shared" si="47"/>
        <v>0</v>
      </c>
      <c r="P173" s="370">
        <f t="shared" si="47"/>
        <v>0</v>
      </c>
      <c r="Q173" s="367">
        <f t="shared" si="47"/>
        <v>0</v>
      </c>
      <c r="R173" s="368">
        <f t="shared" si="47"/>
        <v>0</v>
      </c>
      <c r="S173" s="369">
        <f t="shared" si="47"/>
        <v>0</v>
      </c>
      <c r="T173" s="370">
        <f t="shared" si="47"/>
        <v>0</v>
      </c>
      <c r="U173" s="371">
        <f t="shared" si="47"/>
        <v>0</v>
      </c>
      <c r="V173" s="372">
        <f t="shared" si="47"/>
        <v>0</v>
      </c>
    </row>
    <row r="174" spans="1:22" ht="15" customHeight="1">
      <c r="A174" s="1155" t="s">
        <v>8</v>
      </c>
      <c r="B174" s="1157" t="s">
        <v>12</v>
      </c>
      <c r="C174" s="1159" t="s">
        <v>13</v>
      </c>
      <c r="D174" s="1273" t="s">
        <v>271</v>
      </c>
      <c r="E174" s="1270"/>
      <c r="F174" s="1204" t="s">
        <v>12</v>
      </c>
      <c r="G174" s="1207" t="s">
        <v>145</v>
      </c>
      <c r="H174" s="592" t="s">
        <v>11</v>
      </c>
      <c r="I174" s="165">
        <f>J174+L174</f>
        <v>0</v>
      </c>
      <c r="J174" s="162"/>
      <c r="K174" s="199"/>
      <c r="L174" s="163"/>
      <c r="M174" s="170">
        <f>N174+P174</f>
        <v>79</v>
      </c>
      <c r="N174" s="162">
        <v>79</v>
      </c>
      <c r="O174" s="162"/>
      <c r="P174" s="163"/>
      <c r="Q174" s="374">
        <f>R174+T174</f>
        <v>3.5</v>
      </c>
      <c r="R174" s="375">
        <f>0+3.5</f>
        <v>3.5</v>
      </c>
      <c r="S174" s="381"/>
      <c r="T174" s="376"/>
      <c r="U174" s="168">
        <v>30.6</v>
      </c>
      <c r="V174" s="189">
        <v>7.2</v>
      </c>
    </row>
    <row r="175" spans="1:22" ht="15" customHeight="1">
      <c r="A175" s="1134"/>
      <c r="B175" s="1108"/>
      <c r="C175" s="1111"/>
      <c r="D175" s="1268"/>
      <c r="E175" s="1271"/>
      <c r="F175" s="1205"/>
      <c r="G175" s="1208"/>
      <c r="H175" s="595" t="s">
        <v>53</v>
      </c>
      <c r="I175" s="178"/>
      <c r="J175" s="171"/>
      <c r="K175" s="200"/>
      <c r="L175" s="172"/>
      <c r="M175" s="170">
        <f>N175+P175</f>
        <v>71.9</v>
      </c>
      <c r="N175" s="196">
        <v>71.9</v>
      </c>
      <c r="O175" s="196"/>
      <c r="P175" s="197"/>
      <c r="Q175" s="377">
        <f>R175+T175</f>
        <v>0</v>
      </c>
      <c r="R175" s="392">
        <f>71.9-71.9</f>
        <v>0</v>
      </c>
      <c r="S175" s="677"/>
      <c r="T175" s="393"/>
      <c r="U175" s="611">
        <v>18</v>
      </c>
      <c r="V175" s="520">
        <v>10.9</v>
      </c>
    </row>
    <row r="176" spans="1:22" ht="15" customHeight="1">
      <c r="A176" s="1134"/>
      <c r="B176" s="1108"/>
      <c r="C176" s="1111"/>
      <c r="D176" s="1268"/>
      <c r="E176" s="1271"/>
      <c r="F176" s="1205"/>
      <c r="G176" s="1208"/>
      <c r="H176" s="595" t="s">
        <v>18</v>
      </c>
      <c r="I176" s="170">
        <f>J176+L176</f>
        <v>0</v>
      </c>
      <c r="J176" s="171"/>
      <c r="K176" s="200"/>
      <c r="L176" s="172"/>
      <c r="M176" s="178">
        <f>N176+P176</f>
        <v>0</v>
      </c>
      <c r="N176" s="171"/>
      <c r="O176" s="171"/>
      <c r="P176" s="172"/>
      <c r="Q176" s="380">
        <f>R176+T176</f>
        <v>0</v>
      </c>
      <c r="R176" s="396"/>
      <c r="S176" s="669"/>
      <c r="T176" s="397"/>
      <c r="U176" s="579">
        <v>275.4</v>
      </c>
      <c r="V176" s="191">
        <v>102.3</v>
      </c>
    </row>
    <row r="177" spans="1:22" ht="15" customHeight="1" thickBot="1">
      <c r="A177" s="1156"/>
      <c r="B177" s="1158"/>
      <c r="C177" s="1160"/>
      <c r="D177" s="1274"/>
      <c r="E177" s="1272"/>
      <c r="F177" s="1206"/>
      <c r="G177" s="1209"/>
      <c r="H177" s="682" t="s">
        <v>20</v>
      </c>
      <c r="I177" s="367">
        <f aca="true" t="shared" si="48" ref="I177:V177">SUM(I174:I176)</f>
        <v>0</v>
      </c>
      <c r="J177" s="368">
        <f t="shared" si="48"/>
        <v>0</v>
      </c>
      <c r="K177" s="369">
        <f t="shared" si="48"/>
        <v>0</v>
      </c>
      <c r="L177" s="370">
        <f t="shared" si="48"/>
        <v>0</v>
      </c>
      <c r="M177" s="367">
        <f t="shared" si="48"/>
        <v>150.9</v>
      </c>
      <c r="N177" s="368">
        <f t="shared" si="48"/>
        <v>150.9</v>
      </c>
      <c r="O177" s="369">
        <f t="shared" si="48"/>
        <v>0</v>
      </c>
      <c r="P177" s="370">
        <f t="shared" si="48"/>
        <v>0</v>
      </c>
      <c r="Q177" s="367">
        <f t="shared" si="48"/>
        <v>3.5</v>
      </c>
      <c r="R177" s="368">
        <f t="shared" si="48"/>
        <v>3.5</v>
      </c>
      <c r="S177" s="369">
        <f t="shared" si="48"/>
        <v>0</v>
      </c>
      <c r="T177" s="370">
        <f t="shared" si="48"/>
        <v>0</v>
      </c>
      <c r="U177" s="371">
        <f t="shared" si="48"/>
        <v>324</v>
      </c>
      <c r="V177" s="372">
        <f t="shared" si="48"/>
        <v>120.4</v>
      </c>
    </row>
    <row r="178" spans="1:22" ht="15" customHeight="1">
      <c r="A178" s="1155" t="s">
        <v>8</v>
      </c>
      <c r="B178" s="1157" t="s">
        <v>12</v>
      </c>
      <c r="C178" s="1159" t="s">
        <v>14</v>
      </c>
      <c r="D178" s="1316" t="s">
        <v>55</v>
      </c>
      <c r="E178" s="612" t="s">
        <v>268</v>
      </c>
      <c r="F178" s="1319" t="s">
        <v>10</v>
      </c>
      <c r="G178" s="1241" t="s">
        <v>145</v>
      </c>
      <c r="H178" s="613" t="s">
        <v>11</v>
      </c>
      <c r="I178" s="165">
        <f>J178+L178</f>
        <v>517.2</v>
      </c>
      <c r="J178" s="162">
        <v>517.2</v>
      </c>
      <c r="K178" s="162"/>
      <c r="L178" s="163"/>
      <c r="M178" s="165">
        <f>N178+P178</f>
        <v>437</v>
      </c>
      <c r="N178" s="162">
        <v>437</v>
      </c>
      <c r="O178" s="188"/>
      <c r="P178" s="163"/>
      <c r="Q178" s="374">
        <f>R178+T178</f>
        <v>233.3</v>
      </c>
      <c r="R178" s="378">
        <v>233.3</v>
      </c>
      <c r="S178" s="378"/>
      <c r="T178" s="379"/>
      <c r="U178" s="614">
        <v>233</v>
      </c>
      <c r="V178" s="183">
        <v>233</v>
      </c>
    </row>
    <row r="179" spans="1:22" ht="15" customHeight="1">
      <c r="A179" s="1134"/>
      <c r="B179" s="1108"/>
      <c r="C179" s="1111"/>
      <c r="D179" s="1317"/>
      <c r="E179" s="1321" t="s">
        <v>133</v>
      </c>
      <c r="F179" s="1259"/>
      <c r="G179" s="1208"/>
      <c r="H179" s="615"/>
      <c r="I179" s="170">
        <f>J179+L179</f>
        <v>0</v>
      </c>
      <c r="J179" s="171"/>
      <c r="K179" s="171"/>
      <c r="L179" s="172"/>
      <c r="M179" s="170">
        <f>N179+P179</f>
        <v>0</v>
      </c>
      <c r="N179" s="171"/>
      <c r="O179" s="190"/>
      <c r="P179" s="172"/>
      <c r="Q179" s="377">
        <f>R179+T179</f>
        <v>0</v>
      </c>
      <c r="R179" s="396"/>
      <c r="S179" s="396"/>
      <c r="T179" s="397"/>
      <c r="U179" s="596"/>
      <c r="V179" s="191"/>
    </row>
    <row r="180" spans="1:22" ht="15" customHeight="1" thickBot="1">
      <c r="A180" s="1156"/>
      <c r="B180" s="1158"/>
      <c r="C180" s="1160"/>
      <c r="D180" s="1318"/>
      <c r="E180" s="1322"/>
      <c r="F180" s="1320"/>
      <c r="G180" s="1244"/>
      <c r="H180" s="693" t="s">
        <v>20</v>
      </c>
      <c r="I180" s="367">
        <f aca="true" t="shared" si="49" ref="I180:V180">SUM(I178:I179)</f>
        <v>517.2</v>
      </c>
      <c r="J180" s="368">
        <f t="shared" si="49"/>
        <v>517.2</v>
      </c>
      <c r="K180" s="369">
        <f t="shared" si="49"/>
        <v>0</v>
      </c>
      <c r="L180" s="370">
        <f t="shared" si="49"/>
        <v>0</v>
      </c>
      <c r="M180" s="367">
        <f t="shared" si="49"/>
        <v>437</v>
      </c>
      <c r="N180" s="368">
        <f t="shared" si="49"/>
        <v>437</v>
      </c>
      <c r="O180" s="369">
        <f t="shared" si="49"/>
        <v>0</v>
      </c>
      <c r="P180" s="370">
        <f t="shared" si="49"/>
        <v>0</v>
      </c>
      <c r="Q180" s="367">
        <f t="shared" si="49"/>
        <v>233.3</v>
      </c>
      <c r="R180" s="368">
        <f t="shared" si="49"/>
        <v>233.3</v>
      </c>
      <c r="S180" s="369">
        <f t="shared" si="49"/>
        <v>0</v>
      </c>
      <c r="T180" s="370">
        <f t="shared" si="49"/>
        <v>0</v>
      </c>
      <c r="U180" s="371">
        <f t="shared" si="49"/>
        <v>233</v>
      </c>
      <c r="V180" s="372">
        <f t="shared" si="49"/>
        <v>233</v>
      </c>
    </row>
    <row r="181" spans="1:22" ht="15" customHeight="1" thickBot="1">
      <c r="A181" s="507" t="s">
        <v>8</v>
      </c>
      <c r="B181" s="508" t="s">
        <v>12</v>
      </c>
      <c r="C181" s="1251" t="s">
        <v>19</v>
      </c>
      <c r="D181" s="1252"/>
      <c r="E181" s="1252"/>
      <c r="F181" s="1252"/>
      <c r="G181" s="1252"/>
      <c r="H181" s="1253"/>
      <c r="I181" s="616">
        <f>SUM(I180,I177,I161,I174,I139,I171,I168,I165)</f>
        <v>584.1</v>
      </c>
      <c r="J181" s="616">
        <f>SUM(J180,J177,J161,J174,J139,J171,J168,J165)</f>
        <v>584.1</v>
      </c>
      <c r="K181" s="616">
        <f>SUM(K180,K177,K161,K174,K139,K171,K168,K165)</f>
        <v>0</v>
      </c>
      <c r="L181" s="616">
        <f>SUM(L180,L177,L161,L174,L139,L171,L168,L165)</f>
        <v>0</v>
      </c>
      <c r="M181" s="271">
        <f>SUM(M157,M160,M163,M166,M170,M173,M177,M180)</f>
        <v>4389</v>
      </c>
      <c r="N181" s="339">
        <f aca="true" t="shared" si="50" ref="N181:V181">SUM(N157,N160,N163,N166,N170,N173,N177,N180)</f>
        <v>3654.9</v>
      </c>
      <c r="O181" s="339">
        <f t="shared" si="50"/>
        <v>0</v>
      </c>
      <c r="P181" s="753">
        <f t="shared" si="50"/>
        <v>734.1</v>
      </c>
      <c r="Q181" s="271">
        <f t="shared" si="50"/>
        <v>2719.1</v>
      </c>
      <c r="R181" s="339">
        <f t="shared" si="50"/>
        <v>2619.1</v>
      </c>
      <c r="S181" s="339">
        <f t="shared" si="50"/>
        <v>0</v>
      </c>
      <c r="T181" s="753">
        <f t="shared" si="50"/>
        <v>100</v>
      </c>
      <c r="U181" s="616">
        <f t="shared" si="50"/>
        <v>3088.1</v>
      </c>
      <c r="V181" s="616">
        <f t="shared" si="50"/>
        <v>2960.4</v>
      </c>
    </row>
    <row r="182" spans="1:22" ht="15" customHeight="1" thickBot="1">
      <c r="A182" s="513" t="s">
        <v>8</v>
      </c>
      <c r="B182" s="617" t="s">
        <v>38</v>
      </c>
      <c r="C182" s="618" t="s">
        <v>29</v>
      </c>
      <c r="D182" s="697"/>
      <c r="E182" s="619"/>
      <c r="F182" s="657"/>
      <c r="G182" s="658"/>
      <c r="H182" s="620"/>
      <c r="I182" s="621"/>
      <c r="J182" s="622"/>
      <c r="K182" s="622"/>
      <c r="L182" s="623"/>
      <c r="M182" s="624"/>
      <c r="N182" s="624"/>
      <c r="O182" s="624"/>
      <c r="P182" s="624"/>
      <c r="Q182" s="624"/>
      <c r="R182" s="624"/>
      <c r="S182" s="624"/>
      <c r="T182" s="624"/>
      <c r="U182" s="620"/>
      <c r="V182" s="625"/>
    </row>
    <row r="183" spans="1:22" ht="15" customHeight="1">
      <c r="A183" s="1155" t="s">
        <v>8</v>
      </c>
      <c r="B183" s="1157" t="s">
        <v>38</v>
      </c>
      <c r="C183" s="1159" t="s">
        <v>8</v>
      </c>
      <c r="D183" s="1273" t="s">
        <v>146</v>
      </c>
      <c r="E183" s="1201"/>
      <c r="F183" s="1204" t="s">
        <v>12</v>
      </c>
      <c r="G183" s="1207" t="s">
        <v>145</v>
      </c>
      <c r="H183" s="592" t="s">
        <v>53</v>
      </c>
      <c r="I183" s="165">
        <f>J183+L183</f>
        <v>848.6</v>
      </c>
      <c r="J183" s="162"/>
      <c r="K183" s="162"/>
      <c r="L183" s="163">
        <v>848.6</v>
      </c>
      <c r="M183" s="165">
        <f>N183+P183</f>
        <v>1840.2</v>
      </c>
      <c r="N183" s="162"/>
      <c r="O183" s="162"/>
      <c r="P183" s="163">
        <v>1840.2</v>
      </c>
      <c r="Q183" s="374">
        <f>R183+T183</f>
        <v>520</v>
      </c>
      <c r="R183" s="375"/>
      <c r="S183" s="375"/>
      <c r="T183" s="376">
        <f>733-213</f>
        <v>520</v>
      </c>
      <c r="U183" s="201">
        <v>928.4</v>
      </c>
      <c r="V183" s="195">
        <v>928.4</v>
      </c>
    </row>
    <row r="184" spans="1:22" ht="15" customHeight="1">
      <c r="A184" s="1163"/>
      <c r="B184" s="1165"/>
      <c r="C184" s="1167"/>
      <c r="D184" s="1323"/>
      <c r="E184" s="1202"/>
      <c r="F184" s="1205"/>
      <c r="G184" s="1208"/>
      <c r="H184" s="606"/>
      <c r="I184" s="170">
        <f>J184+L184</f>
        <v>0</v>
      </c>
      <c r="J184" s="179"/>
      <c r="K184" s="179"/>
      <c r="L184" s="180"/>
      <c r="M184" s="170">
        <f>N184+P184</f>
        <v>0</v>
      </c>
      <c r="N184" s="179"/>
      <c r="O184" s="179"/>
      <c r="P184" s="180"/>
      <c r="Q184" s="377">
        <f>R184+T184</f>
        <v>0</v>
      </c>
      <c r="R184" s="378"/>
      <c r="S184" s="378"/>
      <c r="T184" s="379"/>
      <c r="U184" s="202"/>
      <c r="V184" s="203"/>
    </row>
    <row r="185" spans="1:22" ht="15" customHeight="1" thickBot="1">
      <c r="A185" s="1156"/>
      <c r="B185" s="1158"/>
      <c r="C185" s="1160"/>
      <c r="D185" s="1274"/>
      <c r="E185" s="1203"/>
      <c r="F185" s="1206"/>
      <c r="G185" s="1209"/>
      <c r="H185" s="694" t="s">
        <v>20</v>
      </c>
      <c r="I185" s="367">
        <f aca="true" t="shared" si="51" ref="I185:V185">SUM(I183:I184)</f>
        <v>848.6</v>
      </c>
      <c r="J185" s="368">
        <f t="shared" si="51"/>
        <v>0</v>
      </c>
      <c r="K185" s="369">
        <f t="shared" si="51"/>
        <v>0</v>
      </c>
      <c r="L185" s="370">
        <f t="shared" si="51"/>
        <v>848.6</v>
      </c>
      <c r="M185" s="367">
        <f t="shared" si="51"/>
        <v>1840.2</v>
      </c>
      <c r="N185" s="368">
        <f t="shared" si="51"/>
        <v>0</v>
      </c>
      <c r="O185" s="369">
        <f t="shared" si="51"/>
        <v>0</v>
      </c>
      <c r="P185" s="370">
        <f t="shared" si="51"/>
        <v>1840.2</v>
      </c>
      <c r="Q185" s="367">
        <f t="shared" si="51"/>
        <v>520</v>
      </c>
      <c r="R185" s="368">
        <f t="shared" si="51"/>
        <v>0</v>
      </c>
      <c r="S185" s="369">
        <f t="shared" si="51"/>
        <v>0</v>
      </c>
      <c r="T185" s="370">
        <f t="shared" si="51"/>
        <v>520</v>
      </c>
      <c r="U185" s="371">
        <f t="shared" si="51"/>
        <v>928.4</v>
      </c>
      <c r="V185" s="372">
        <f t="shared" si="51"/>
        <v>928.4</v>
      </c>
    </row>
    <row r="186" spans="1:22" ht="15" customHeight="1">
      <c r="A186" s="1163" t="s">
        <v>8</v>
      </c>
      <c r="B186" s="1165" t="s">
        <v>38</v>
      </c>
      <c r="C186" s="1167" t="s">
        <v>9</v>
      </c>
      <c r="D186" s="1323" t="s">
        <v>272</v>
      </c>
      <c r="E186" s="1201"/>
      <c r="F186" s="1204" t="s">
        <v>12</v>
      </c>
      <c r="G186" s="1207" t="s">
        <v>145</v>
      </c>
      <c r="H186" s="602" t="s">
        <v>53</v>
      </c>
      <c r="I186" s="165">
        <f>J186+L186</f>
        <v>1215.9</v>
      </c>
      <c r="J186" s="179">
        <v>1215.9</v>
      </c>
      <c r="K186" s="179"/>
      <c r="L186" s="180"/>
      <c r="M186" s="165">
        <f>N186+P186</f>
        <v>2761</v>
      </c>
      <c r="N186" s="179">
        <v>2761</v>
      </c>
      <c r="O186" s="204" t="s">
        <v>51</v>
      </c>
      <c r="P186" s="205"/>
      <c r="Q186" s="374">
        <f>R186+T186</f>
        <v>1238.4</v>
      </c>
      <c r="R186" s="378">
        <f>900+338.4</f>
        <v>1238.4</v>
      </c>
      <c r="S186" s="378"/>
      <c r="T186" s="379"/>
      <c r="U186" s="206">
        <v>1206.1</v>
      </c>
      <c r="V186" s="207">
        <v>1206.1</v>
      </c>
    </row>
    <row r="187" spans="1:22" ht="15" customHeight="1">
      <c r="A187" s="1163"/>
      <c r="B187" s="1165"/>
      <c r="C187" s="1167"/>
      <c r="D187" s="1323"/>
      <c r="E187" s="1202"/>
      <c r="F187" s="1205"/>
      <c r="G187" s="1208"/>
      <c r="H187" s="603" t="s">
        <v>11</v>
      </c>
      <c r="I187" s="170">
        <f>J187+L187</f>
        <v>150</v>
      </c>
      <c r="J187" s="171">
        <v>150</v>
      </c>
      <c r="K187" s="171"/>
      <c r="L187" s="172"/>
      <c r="M187" s="170">
        <f>N187+P187</f>
        <v>1690</v>
      </c>
      <c r="N187" s="171">
        <v>1690</v>
      </c>
      <c r="O187" s="551"/>
      <c r="P187" s="626"/>
      <c r="Q187" s="377">
        <f>R187+T187</f>
        <v>280</v>
      </c>
      <c r="R187" s="396">
        <f>135+145</f>
        <v>280</v>
      </c>
      <c r="S187" s="396"/>
      <c r="T187" s="397"/>
      <c r="U187" s="627">
        <v>135</v>
      </c>
      <c r="V187" s="628">
        <v>135</v>
      </c>
    </row>
    <row r="188" spans="1:22" ht="15" customHeight="1" thickBot="1">
      <c r="A188" s="1156"/>
      <c r="B188" s="1158"/>
      <c r="C188" s="1160"/>
      <c r="D188" s="1274"/>
      <c r="E188" s="1203"/>
      <c r="F188" s="1206"/>
      <c r="G188" s="1209"/>
      <c r="H188" s="682" t="s">
        <v>20</v>
      </c>
      <c r="I188" s="367">
        <f aca="true" t="shared" si="52" ref="I188:V188">SUM(I186:I187)</f>
        <v>1365.9</v>
      </c>
      <c r="J188" s="369">
        <f t="shared" si="52"/>
        <v>1365.9</v>
      </c>
      <c r="K188" s="369">
        <f t="shared" si="52"/>
        <v>0</v>
      </c>
      <c r="L188" s="370">
        <f t="shared" si="52"/>
        <v>0</v>
      </c>
      <c r="M188" s="367">
        <f t="shared" si="52"/>
        <v>4451</v>
      </c>
      <c r="N188" s="369">
        <f t="shared" si="52"/>
        <v>4451</v>
      </c>
      <c r="O188" s="369">
        <f t="shared" si="52"/>
        <v>0</v>
      </c>
      <c r="P188" s="370">
        <f t="shared" si="52"/>
        <v>0</v>
      </c>
      <c r="Q188" s="367">
        <f t="shared" si="52"/>
        <v>1518.4</v>
      </c>
      <c r="R188" s="369">
        <f t="shared" si="52"/>
        <v>1518.4</v>
      </c>
      <c r="S188" s="369">
        <f t="shared" si="52"/>
        <v>0</v>
      </c>
      <c r="T188" s="370">
        <f t="shared" si="52"/>
        <v>0</v>
      </c>
      <c r="U188" s="371">
        <f t="shared" si="52"/>
        <v>1341.1</v>
      </c>
      <c r="V188" s="372">
        <f t="shared" si="52"/>
        <v>1341.1</v>
      </c>
    </row>
    <row r="189" spans="1:22" ht="15" customHeight="1">
      <c r="A189" s="1155" t="s">
        <v>8</v>
      </c>
      <c r="B189" s="1157" t="s">
        <v>38</v>
      </c>
      <c r="C189" s="1159" t="s">
        <v>10</v>
      </c>
      <c r="D189" s="1273" t="s">
        <v>157</v>
      </c>
      <c r="E189" s="1201" t="s">
        <v>268</v>
      </c>
      <c r="F189" s="1204" t="s">
        <v>12</v>
      </c>
      <c r="G189" s="1207" t="s">
        <v>145</v>
      </c>
      <c r="H189" s="602" t="s">
        <v>53</v>
      </c>
      <c r="I189" s="165">
        <f>J189+L189</f>
        <v>287.1</v>
      </c>
      <c r="J189" s="162">
        <v>287.1</v>
      </c>
      <c r="K189" s="162"/>
      <c r="L189" s="199"/>
      <c r="M189" s="165">
        <f>N189+P189</f>
        <v>600</v>
      </c>
      <c r="N189" s="162">
        <v>600</v>
      </c>
      <c r="O189" s="162"/>
      <c r="P189" s="163"/>
      <c r="Q189" s="374">
        <f>R189+T189</f>
        <v>226.8</v>
      </c>
      <c r="R189" s="375">
        <v>226.8</v>
      </c>
      <c r="S189" s="375"/>
      <c r="T189" s="376"/>
      <c r="U189" s="168">
        <v>287.1</v>
      </c>
      <c r="V189" s="189">
        <v>287.1</v>
      </c>
    </row>
    <row r="190" spans="1:22" ht="15" customHeight="1">
      <c r="A190" s="1164"/>
      <c r="B190" s="1166"/>
      <c r="C190" s="1168"/>
      <c r="D190" s="1324"/>
      <c r="E190" s="1202"/>
      <c r="F190" s="1205"/>
      <c r="G190" s="1208"/>
      <c r="H190" s="603" t="s">
        <v>11</v>
      </c>
      <c r="I190" s="170">
        <f>J190+L190</f>
        <v>50</v>
      </c>
      <c r="J190" s="171">
        <v>50</v>
      </c>
      <c r="K190" s="171"/>
      <c r="L190" s="200"/>
      <c r="M190" s="170">
        <f>N190+P190</f>
        <v>100</v>
      </c>
      <c r="N190" s="171">
        <v>100</v>
      </c>
      <c r="O190" s="171"/>
      <c r="P190" s="172"/>
      <c r="Q190" s="377">
        <f>R190+T190</f>
        <v>45</v>
      </c>
      <c r="R190" s="396">
        <v>45</v>
      </c>
      <c r="S190" s="396"/>
      <c r="T190" s="397"/>
      <c r="U190" s="579">
        <v>45</v>
      </c>
      <c r="V190" s="191">
        <v>45</v>
      </c>
    </row>
    <row r="191" spans="1:22" ht="15" customHeight="1" thickBot="1">
      <c r="A191" s="1156"/>
      <c r="B191" s="1158"/>
      <c r="C191" s="1160"/>
      <c r="D191" s="1274"/>
      <c r="E191" s="1203"/>
      <c r="F191" s="1206"/>
      <c r="G191" s="1209"/>
      <c r="H191" s="691" t="s">
        <v>20</v>
      </c>
      <c r="I191" s="367">
        <f aca="true" t="shared" si="53" ref="I191:V191">SUM(I189:I190)</f>
        <v>337.1</v>
      </c>
      <c r="J191" s="368">
        <f t="shared" si="53"/>
        <v>337.1</v>
      </c>
      <c r="K191" s="369">
        <f t="shared" si="53"/>
        <v>0</v>
      </c>
      <c r="L191" s="370">
        <f t="shared" si="53"/>
        <v>0</v>
      </c>
      <c r="M191" s="367">
        <f t="shared" si="53"/>
        <v>700</v>
      </c>
      <c r="N191" s="368">
        <f t="shared" si="53"/>
        <v>700</v>
      </c>
      <c r="O191" s="369">
        <f t="shared" si="53"/>
        <v>0</v>
      </c>
      <c r="P191" s="370">
        <f t="shared" si="53"/>
        <v>0</v>
      </c>
      <c r="Q191" s="367">
        <f t="shared" si="53"/>
        <v>271.8</v>
      </c>
      <c r="R191" s="368">
        <f t="shared" si="53"/>
        <v>271.8</v>
      </c>
      <c r="S191" s="369">
        <f t="shared" si="53"/>
        <v>0</v>
      </c>
      <c r="T191" s="370">
        <f t="shared" si="53"/>
        <v>0</v>
      </c>
      <c r="U191" s="371">
        <f t="shared" si="53"/>
        <v>332.1</v>
      </c>
      <c r="V191" s="372">
        <f t="shared" si="53"/>
        <v>332.1</v>
      </c>
    </row>
    <row r="192" spans="1:22" ht="15" customHeight="1">
      <c r="A192" s="1155" t="s">
        <v>8</v>
      </c>
      <c r="B192" s="1157" t="s">
        <v>38</v>
      </c>
      <c r="C192" s="1159" t="s">
        <v>12</v>
      </c>
      <c r="D192" s="1273" t="s">
        <v>147</v>
      </c>
      <c r="E192" s="1201"/>
      <c r="F192" s="1204" t="s">
        <v>12</v>
      </c>
      <c r="G192" s="1207" t="s">
        <v>145</v>
      </c>
      <c r="H192" s="592" t="s">
        <v>53</v>
      </c>
      <c r="I192" s="165">
        <f>J192+L192</f>
        <v>272.6</v>
      </c>
      <c r="J192" s="162">
        <v>272.6</v>
      </c>
      <c r="K192" s="199"/>
      <c r="L192" s="163"/>
      <c r="M192" s="165">
        <f>N192+P192</f>
        <v>272.6</v>
      </c>
      <c r="N192" s="162">
        <v>272.6</v>
      </c>
      <c r="O192" s="162"/>
      <c r="P192" s="163"/>
      <c r="Q192" s="374">
        <f>R192+T192</f>
        <v>231.8</v>
      </c>
      <c r="R192" s="375">
        <f>215.4+16.4</f>
        <v>231.8</v>
      </c>
      <c r="S192" s="381"/>
      <c r="T192" s="376"/>
      <c r="U192" s="168">
        <v>272.6</v>
      </c>
      <c r="V192" s="189">
        <v>272.6</v>
      </c>
    </row>
    <row r="193" spans="1:22" ht="15" customHeight="1">
      <c r="A193" s="1134"/>
      <c r="B193" s="1108"/>
      <c r="C193" s="1111"/>
      <c r="D193" s="1268"/>
      <c r="E193" s="1202"/>
      <c r="F193" s="1205"/>
      <c r="G193" s="1208"/>
      <c r="H193" s="595" t="s">
        <v>11</v>
      </c>
      <c r="I193" s="170">
        <f>J193+L193</f>
        <v>0</v>
      </c>
      <c r="J193" s="171"/>
      <c r="K193" s="200"/>
      <c r="L193" s="172"/>
      <c r="M193" s="170">
        <f>N193+P193</f>
        <v>0</v>
      </c>
      <c r="N193" s="171"/>
      <c r="O193" s="171"/>
      <c r="P193" s="172"/>
      <c r="Q193" s="377">
        <f>R193+T193</f>
        <v>0</v>
      </c>
      <c r="R193" s="396"/>
      <c r="S193" s="669"/>
      <c r="T193" s="397"/>
      <c r="U193" s="579"/>
      <c r="V193" s="191"/>
    </row>
    <row r="194" spans="1:22" ht="15" customHeight="1" thickBot="1">
      <c r="A194" s="1156"/>
      <c r="B194" s="1158"/>
      <c r="C194" s="1160"/>
      <c r="D194" s="1274"/>
      <c r="E194" s="1203"/>
      <c r="F194" s="1206"/>
      <c r="G194" s="1209"/>
      <c r="H194" s="682" t="s">
        <v>20</v>
      </c>
      <c r="I194" s="367">
        <f aca="true" t="shared" si="54" ref="I194:V194">SUM(I192:I193)</f>
        <v>272.6</v>
      </c>
      <c r="J194" s="368">
        <f t="shared" si="54"/>
        <v>272.6</v>
      </c>
      <c r="K194" s="369">
        <f t="shared" si="54"/>
        <v>0</v>
      </c>
      <c r="L194" s="370">
        <f t="shared" si="54"/>
        <v>0</v>
      </c>
      <c r="M194" s="367">
        <f t="shared" si="54"/>
        <v>272.6</v>
      </c>
      <c r="N194" s="368">
        <f t="shared" si="54"/>
        <v>272.6</v>
      </c>
      <c r="O194" s="369">
        <f t="shared" si="54"/>
        <v>0</v>
      </c>
      <c r="P194" s="370">
        <f t="shared" si="54"/>
        <v>0</v>
      </c>
      <c r="Q194" s="367">
        <f t="shared" si="54"/>
        <v>231.8</v>
      </c>
      <c r="R194" s="368">
        <f t="shared" si="54"/>
        <v>231.8</v>
      </c>
      <c r="S194" s="369">
        <f t="shared" si="54"/>
        <v>0</v>
      </c>
      <c r="T194" s="370">
        <f t="shared" si="54"/>
        <v>0</v>
      </c>
      <c r="U194" s="371">
        <f t="shared" si="54"/>
        <v>272.6</v>
      </c>
      <c r="V194" s="372">
        <f t="shared" si="54"/>
        <v>272.6</v>
      </c>
    </row>
    <row r="195" spans="1:22" ht="15" customHeight="1" thickBot="1">
      <c r="A195" s="723" t="s">
        <v>8</v>
      </c>
      <c r="B195" s="724" t="s">
        <v>38</v>
      </c>
      <c r="C195" s="1325" t="s">
        <v>19</v>
      </c>
      <c r="D195" s="1326"/>
      <c r="E195" s="1326"/>
      <c r="F195" s="1326"/>
      <c r="G195" s="1326"/>
      <c r="H195" s="1327"/>
      <c r="I195" s="616" t="e">
        <f>SUM(#REF!,#REF!,I180,I194,I157,I191,I188,I185)</f>
        <v>#REF!</v>
      </c>
      <c r="J195" s="616" t="e">
        <f>SUM(#REF!,#REF!,J180,J194,J157,J191,J188,J185)</f>
        <v>#REF!</v>
      </c>
      <c r="K195" s="616" t="e">
        <f>SUM(#REF!,#REF!,K180,K194,K157,K191,K188,K185)</f>
        <v>#REF!</v>
      </c>
      <c r="L195" s="616" t="e">
        <f>SUM(#REF!,#REF!,L180,L194,L157,L191,L188,L185)</f>
        <v>#REF!</v>
      </c>
      <c r="M195" s="762">
        <f>SUM(M194,M191,M188,M185)</f>
        <v>7263.8</v>
      </c>
      <c r="N195" s="763">
        <f aca="true" t="shared" si="55" ref="N195:V195">SUM(N194,N191,N188,N185)</f>
        <v>5423.6</v>
      </c>
      <c r="O195" s="764">
        <f t="shared" si="55"/>
        <v>0</v>
      </c>
      <c r="P195" s="765">
        <f t="shared" si="55"/>
        <v>1840.2</v>
      </c>
      <c r="Q195" s="766">
        <f t="shared" si="55"/>
        <v>2542</v>
      </c>
      <c r="R195" s="764">
        <f t="shared" si="55"/>
        <v>2022</v>
      </c>
      <c r="S195" s="764">
        <f t="shared" si="55"/>
        <v>0</v>
      </c>
      <c r="T195" s="765">
        <f t="shared" si="55"/>
        <v>520</v>
      </c>
      <c r="U195" s="767">
        <f t="shared" si="55"/>
        <v>2874.2</v>
      </c>
      <c r="V195" s="767">
        <f t="shared" si="55"/>
        <v>2874.2</v>
      </c>
    </row>
    <row r="196" spans="1:22" ht="15" customHeight="1">
      <c r="A196" s="533" t="s">
        <v>8</v>
      </c>
      <c r="B196" s="1328" t="s">
        <v>21</v>
      </c>
      <c r="C196" s="1329"/>
      <c r="D196" s="1329"/>
      <c r="E196" s="1329"/>
      <c r="F196" s="1329"/>
      <c r="G196" s="1329"/>
      <c r="H196" s="1330"/>
      <c r="I196" s="629" t="e">
        <f>SUM(#REF!,I195,I153,I130,I121)</f>
        <v>#REF!</v>
      </c>
      <c r="J196" s="629" t="e">
        <f>SUM(#REF!,J195,J153,J130,J121)</f>
        <v>#REF!</v>
      </c>
      <c r="K196" s="629" t="e">
        <f>SUM(#REF!,K195,K153,K130,K121)</f>
        <v>#REF!</v>
      </c>
      <c r="L196" s="629" t="e">
        <f>SUM(#REF!,L195,L153,L130,L121)</f>
        <v>#REF!</v>
      </c>
      <c r="M196" s="629">
        <f aca="true" t="shared" si="56" ref="M196:V196">SUM(M195,M181,M153,M130,M121)</f>
        <v>78413.6</v>
      </c>
      <c r="N196" s="754">
        <f t="shared" si="56"/>
        <v>31847.5</v>
      </c>
      <c r="O196" s="757">
        <f t="shared" si="56"/>
        <v>0</v>
      </c>
      <c r="P196" s="755">
        <f t="shared" si="56"/>
        <v>46566.1</v>
      </c>
      <c r="Q196" s="759">
        <f t="shared" si="56"/>
        <v>64694.899999999994</v>
      </c>
      <c r="R196" s="757">
        <f t="shared" si="56"/>
        <v>22062.800000000003</v>
      </c>
      <c r="S196" s="757">
        <f t="shared" si="56"/>
        <v>0</v>
      </c>
      <c r="T196" s="755">
        <f t="shared" si="56"/>
        <v>42632.1</v>
      </c>
      <c r="U196" s="759">
        <f t="shared" si="56"/>
        <v>75763.29999999999</v>
      </c>
      <c r="V196" s="759">
        <f t="shared" si="56"/>
        <v>41050.100000000006</v>
      </c>
    </row>
    <row r="197" spans="1:22" ht="15" customHeight="1" thickBot="1">
      <c r="A197" s="630" t="s">
        <v>13</v>
      </c>
      <c r="B197" s="1331" t="s">
        <v>27</v>
      </c>
      <c r="C197" s="1332"/>
      <c r="D197" s="1332"/>
      <c r="E197" s="1332"/>
      <c r="F197" s="1332"/>
      <c r="G197" s="1332"/>
      <c r="H197" s="1332"/>
      <c r="I197" s="218" t="e">
        <f>I196</f>
        <v>#REF!</v>
      </c>
      <c r="J197" s="218" t="e">
        <f aca="true" t="shared" si="57" ref="J197:V197">J196</f>
        <v>#REF!</v>
      </c>
      <c r="K197" s="218" t="e">
        <f t="shared" si="57"/>
        <v>#REF!</v>
      </c>
      <c r="L197" s="218" t="e">
        <f t="shared" si="57"/>
        <v>#REF!</v>
      </c>
      <c r="M197" s="218">
        <f t="shared" si="57"/>
        <v>78413.6</v>
      </c>
      <c r="N197" s="319">
        <f t="shared" si="57"/>
        <v>31847.5</v>
      </c>
      <c r="O197" s="758">
        <f t="shared" si="57"/>
        <v>0</v>
      </c>
      <c r="P197" s="756">
        <f t="shared" si="57"/>
        <v>46566.1</v>
      </c>
      <c r="Q197" s="760">
        <f t="shared" si="57"/>
        <v>64694.899999999994</v>
      </c>
      <c r="R197" s="758">
        <f t="shared" si="57"/>
        <v>22062.800000000003</v>
      </c>
      <c r="S197" s="758">
        <f t="shared" si="57"/>
        <v>0</v>
      </c>
      <c r="T197" s="756">
        <f t="shared" si="57"/>
        <v>42632.1</v>
      </c>
      <c r="U197" s="760">
        <f t="shared" si="57"/>
        <v>75763.29999999999</v>
      </c>
      <c r="V197" s="761">
        <f t="shared" si="57"/>
        <v>41050.100000000006</v>
      </c>
    </row>
    <row r="199" spans="1:22" ht="14.25" customHeight="1">
      <c r="A199" s="1333" t="s">
        <v>36</v>
      </c>
      <c r="B199" s="1333"/>
      <c r="C199" s="1333"/>
      <c r="D199" s="1333"/>
      <c r="E199" s="1333"/>
      <c r="F199" s="1333"/>
      <c r="G199" s="1333"/>
      <c r="H199" s="1333"/>
      <c r="I199" s="1333"/>
      <c r="J199" s="1333"/>
      <c r="K199" s="1333"/>
      <c r="L199" s="1333"/>
      <c r="M199" s="1333"/>
      <c r="N199" s="1333"/>
      <c r="O199" s="1333"/>
      <c r="P199" s="1333"/>
      <c r="Q199" s="1333"/>
      <c r="R199" s="1333"/>
      <c r="S199" s="1333"/>
      <c r="T199" s="1333"/>
      <c r="U199" s="631"/>
      <c r="V199" s="632"/>
    </row>
    <row r="200" spans="1:22" ht="12.75" customHeight="1" thickBot="1">
      <c r="A200" s="633"/>
      <c r="B200" s="633"/>
      <c r="C200" s="634"/>
      <c r="D200" s="706"/>
      <c r="E200" s="635"/>
      <c r="F200" s="499"/>
      <c r="G200" s="636"/>
      <c r="H200" s="637"/>
      <c r="M200" s="638"/>
      <c r="N200" s="639"/>
      <c r="O200" s="640"/>
      <c r="Q200" s="1334" t="s">
        <v>46</v>
      </c>
      <c r="R200" s="1334"/>
      <c r="S200" s="1334"/>
      <c r="T200" s="1334"/>
      <c r="U200" s="641"/>
      <c r="V200" s="642"/>
    </row>
    <row r="201" spans="1:22" ht="33.75" customHeight="1" thickBot="1">
      <c r="A201" s="1335" t="s">
        <v>28</v>
      </c>
      <c r="B201" s="1336"/>
      <c r="C201" s="1336"/>
      <c r="D201" s="1336"/>
      <c r="E201" s="1336"/>
      <c r="F201" s="1336"/>
      <c r="G201" s="1336"/>
      <c r="H201" s="1337"/>
      <c r="I201" s="1335" t="s">
        <v>148</v>
      </c>
      <c r="J201" s="1336"/>
      <c r="K201" s="1336"/>
      <c r="L201" s="1337"/>
      <c r="M201" s="1335" t="s">
        <v>154</v>
      </c>
      <c r="N201" s="1336"/>
      <c r="O201" s="1336"/>
      <c r="P201" s="1337"/>
      <c r="Q201" s="1335" t="s">
        <v>155</v>
      </c>
      <c r="R201" s="1336"/>
      <c r="S201" s="1336"/>
      <c r="T201" s="1337"/>
      <c r="U201" s="643"/>
      <c r="V201" s="644"/>
    </row>
    <row r="202" spans="1:22" ht="15" customHeight="1">
      <c r="A202" s="1338" t="s">
        <v>33</v>
      </c>
      <c r="B202" s="1339"/>
      <c r="C202" s="1339"/>
      <c r="D202" s="1339"/>
      <c r="E202" s="1339"/>
      <c r="F202" s="1339"/>
      <c r="G202" s="1339"/>
      <c r="H202" s="1340"/>
      <c r="I202" s="1341" t="e">
        <f>#REF!+I206</f>
        <v>#REF!</v>
      </c>
      <c r="J202" s="1342"/>
      <c r="K202" s="1342"/>
      <c r="L202" s="1343"/>
      <c r="M202" s="1341">
        <f>SUM(M203:P206)</f>
        <v>28564.600000000002</v>
      </c>
      <c r="N202" s="1342"/>
      <c r="O202" s="1342"/>
      <c r="P202" s="1343"/>
      <c r="Q202" s="1341">
        <f>SUM(Q203:T206)</f>
        <v>20483.1</v>
      </c>
      <c r="R202" s="1342"/>
      <c r="S202" s="1342"/>
      <c r="T202" s="1343"/>
      <c r="U202" s="309"/>
      <c r="V202" s="309"/>
    </row>
    <row r="203" spans="1:22" ht="15" customHeight="1">
      <c r="A203" s="1344" t="s">
        <v>273</v>
      </c>
      <c r="B203" s="1345"/>
      <c r="C203" s="1345"/>
      <c r="D203" s="1345"/>
      <c r="E203" s="1345"/>
      <c r="F203" s="1345"/>
      <c r="G203" s="1345"/>
      <c r="H203" s="1346"/>
      <c r="I203" s="1347">
        <f>SUMIF(H102:H196,"SB",I102:I196)</f>
        <v>18042</v>
      </c>
      <c r="J203" s="1348"/>
      <c r="K203" s="1348"/>
      <c r="L203" s="1349"/>
      <c r="M203" s="1347">
        <f>SUMIF(H11:H196,"SB",M11:M196)</f>
        <v>27430.7</v>
      </c>
      <c r="N203" s="1348"/>
      <c r="O203" s="1348"/>
      <c r="P203" s="1349"/>
      <c r="Q203" s="1347">
        <f>SUMIF(H11:H196,"SB",Q11:Q196)</f>
        <v>19449.199999999997</v>
      </c>
      <c r="R203" s="1348"/>
      <c r="S203" s="1348"/>
      <c r="T203" s="1349"/>
      <c r="U203" s="645"/>
      <c r="V203" s="646"/>
    </row>
    <row r="204" spans="1:22" ht="15" customHeight="1">
      <c r="A204" s="1350" t="s">
        <v>274</v>
      </c>
      <c r="B204" s="1351"/>
      <c r="C204" s="1351"/>
      <c r="D204" s="1351"/>
      <c r="E204" s="1351"/>
      <c r="F204" s="1351"/>
      <c r="G204" s="1351"/>
      <c r="H204" s="1352"/>
      <c r="I204" s="1353">
        <f>SUMIF(H102:H196,"SB(TA)",I102:I196)</f>
        <v>0</v>
      </c>
      <c r="J204" s="1354"/>
      <c r="K204" s="1354"/>
      <c r="L204" s="1355"/>
      <c r="M204" s="1353">
        <f>SUMIF(H11:H196,"SB(TA)",M11:M196)</f>
        <v>0</v>
      </c>
      <c r="N204" s="1354"/>
      <c r="O204" s="1354"/>
      <c r="P204" s="1355"/>
      <c r="Q204" s="1353">
        <f>SUMIF(H11:H196,"SB(TA)",Q11:Q196)</f>
        <v>0</v>
      </c>
      <c r="R204" s="1354"/>
      <c r="S204" s="1354"/>
      <c r="T204" s="1355"/>
      <c r="U204" s="645"/>
      <c r="V204" s="646"/>
    </row>
    <row r="205" spans="1:22" ht="15" customHeight="1">
      <c r="A205" s="1350" t="s">
        <v>275</v>
      </c>
      <c r="B205" s="1351"/>
      <c r="C205" s="1351"/>
      <c r="D205" s="1351"/>
      <c r="E205" s="1351"/>
      <c r="F205" s="1351"/>
      <c r="G205" s="1351"/>
      <c r="H205" s="1352"/>
      <c r="I205" s="1353">
        <f>SUMIF(H102:H196,"P",I102:I196)</f>
        <v>399.1</v>
      </c>
      <c r="J205" s="1354"/>
      <c r="K205" s="1354"/>
      <c r="L205" s="1355"/>
      <c r="M205" s="1353">
        <f>SUMIF(H11:H196,"P",M11:M196)</f>
        <v>1133.9</v>
      </c>
      <c r="N205" s="1354"/>
      <c r="O205" s="1354"/>
      <c r="P205" s="1355"/>
      <c r="Q205" s="1353">
        <f>SUMIF(H11:H196,"P",Q11:Q196)</f>
        <v>1033.9</v>
      </c>
      <c r="R205" s="1354"/>
      <c r="S205" s="1354"/>
      <c r="T205" s="1355"/>
      <c r="U205" s="645"/>
      <c r="V205" s="646"/>
    </row>
    <row r="206" spans="1:22" ht="15" customHeight="1">
      <c r="A206" s="1356" t="s">
        <v>276</v>
      </c>
      <c r="B206" s="1357"/>
      <c r="C206" s="1357"/>
      <c r="D206" s="1357"/>
      <c r="E206" s="1357"/>
      <c r="F206" s="1357"/>
      <c r="G206" s="1357"/>
      <c r="H206" s="1358"/>
      <c r="I206" s="1359">
        <f>SUMIF(H102:H196,"PF",I102:I196)</f>
        <v>0</v>
      </c>
      <c r="J206" s="1360"/>
      <c r="K206" s="1360"/>
      <c r="L206" s="1361"/>
      <c r="M206" s="1359">
        <f>SUMIF(H11:H196,"PF",M11:M196)</f>
        <v>0</v>
      </c>
      <c r="N206" s="1360"/>
      <c r="O206" s="1360"/>
      <c r="P206" s="1361"/>
      <c r="Q206" s="1359">
        <f>SUMIF(P102:P196,"PF",Q102:Q196)</f>
        <v>0</v>
      </c>
      <c r="R206" s="1360"/>
      <c r="S206" s="1360"/>
      <c r="T206" s="1361"/>
      <c r="U206" s="645"/>
      <c r="V206" s="646"/>
    </row>
    <row r="207" spans="1:22" ht="15" customHeight="1">
      <c r="A207" s="1362" t="s">
        <v>34</v>
      </c>
      <c r="B207" s="1363"/>
      <c r="C207" s="1363"/>
      <c r="D207" s="1363"/>
      <c r="E207" s="1363"/>
      <c r="F207" s="1363"/>
      <c r="G207" s="1363"/>
      <c r="H207" s="1364"/>
      <c r="I207" s="1365">
        <f>SUM(I208:L212)</f>
        <v>15595.699999999999</v>
      </c>
      <c r="J207" s="1366"/>
      <c r="K207" s="1366"/>
      <c r="L207" s="1367"/>
      <c r="M207" s="1365">
        <f>SUM(M208:P212)</f>
        <v>49849</v>
      </c>
      <c r="N207" s="1366"/>
      <c r="O207" s="1366"/>
      <c r="P207" s="1367"/>
      <c r="Q207" s="1365">
        <f>SUM(Q208:T212)</f>
        <v>44211.799999999996</v>
      </c>
      <c r="R207" s="1366"/>
      <c r="S207" s="1366"/>
      <c r="T207" s="1367"/>
      <c r="U207" s="310"/>
      <c r="V207" s="309"/>
    </row>
    <row r="208" spans="1:22" ht="15" customHeight="1">
      <c r="A208" s="1368" t="s">
        <v>277</v>
      </c>
      <c r="B208" s="1369"/>
      <c r="C208" s="1369"/>
      <c r="D208" s="1369"/>
      <c r="E208" s="1369"/>
      <c r="F208" s="1369"/>
      <c r="G208" s="1369"/>
      <c r="H208" s="1370"/>
      <c r="I208" s="1347">
        <f>SUMIF(H102:H196,"ES",I102:I196)</f>
        <v>11318.1</v>
      </c>
      <c r="J208" s="1348"/>
      <c r="K208" s="1348"/>
      <c r="L208" s="1349"/>
      <c r="M208" s="1347">
        <f>SUMIF(H11:H196,"ES",M11:M196)</f>
        <v>24139.9</v>
      </c>
      <c r="N208" s="1348"/>
      <c r="O208" s="1348"/>
      <c r="P208" s="1349"/>
      <c r="Q208" s="1347">
        <f>SUMIF(H11:H196,"ES",Q11:Q196)</f>
        <v>24247</v>
      </c>
      <c r="R208" s="1348"/>
      <c r="S208" s="1348"/>
      <c r="T208" s="1349"/>
      <c r="U208" s="645"/>
      <c r="V208" s="646"/>
    </row>
    <row r="209" spans="1:22" ht="15" customHeight="1">
      <c r="A209" s="1371" t="s">
        <v>278</v>
      </c>
      <c r="B209" s="1372"/>
      <c r="C209" s="1372"/>
      <c r="D209" s="1372"/>
      <c r="E209" s="1372"/>
      <c r="F209" s="1372"/>
      <c r="G209" s="1372"/>
      <c r="H209" s="1373"/>
      <c r="I209" s="1353">
        <f>SUMIF(H102:H196,"KPP",I102:I196)</f>
        <v>3770.7</v>
      </c>
      <c r="J209" s="1354"/>
      <c r="K209" s="1354"/>
      <c r="L209" s="1355"/>
      <c r="M209" s="1353">
        <f>SUMIF(H11:H196,"KPP",M11:M196)</f>
        <v>14449.1</v>
      </c>
      <c r="N209" s="1354"/>
      <c r="O209" s="1354"/>
      <c r="P209" s="1355"/>
      <c r="Q209" s="1353">
        <f>SUMIF(H11:H196,"KPP",Q11:Q196)</f>
        <v>8691.599999999999</v>
      </c>
      <c r="R209" s="1354"/>
      <c r="S209" s="1354"/>
      <c r="T209" s="1355"/>
      <c r="U209" s="647"/>
      <c r="V209" s="648"/>
    </row>
    <row r="210" spans="1:22" s="501" customFormat="1" ht="15" customHeight="1">
      <c r="A210" s="1350" t="s">
        <v>279</v>
      </c>
      <c r="B210" s="1351"/>
      <c r="C210" s="1351"/>
      <c r="D210" s="1351"/>
      <c r="E210" s="1351"/>
      <c r="F210" s="1351"/>
      <c r="G210" s="1351"/>
      <c r="H210" s="1352"/>
      <c r="I210" s="1353">
        <f>SUMIF(H102:H196,"LRVB",I102:I196)</f>
        <v>506.9</v>
      </c>
      <c r="J210" s="1354"/>
      <c r="K210" s="1354"/>
      <c r="L210" s="1355"/>
      <c r="M210" s="1353">
        <f>SUMIF(H11:H196,"LRVB",M11:M196)</f>
        <v>633.5</v>
      </c>
      <c r="N210" s="1354"/>
      <c r="O210" s="1354"/>
      <c r="P210" s="1355"/>
      <c r="Q210" s="1353">
        <f>SUMIF(H11:H196,"LRVB",Q11:Q196)</f>
        <v>646.7</v>
      </c>
      <c r="R210" s="1354"/>
      <c r="S210" s="1354"/>
      <c r="T210" s="1355"/>
      <c r="U210" s="647"/>
      <c r="V210" s="648"/>
    </row>
    <row r="211" spans="1:22" ht="15" customHeight="1">
      <c r="A211" s="1371" t="s">
        <v>280</v>
      </c>
      <c r="B211" s="1372"/>
      <c r="C211" s="1372"/>
      <c r="D211" s="1372"/>
      <c r="E211" s="1372"/>
      <c r="F211" s="1372"/>
      <c r="G211" s="1372"/>
      <c r="H211" s="1373"/>
      <c r="I211" s="1353">
        <f>SUMIF(H102:H196,"KVJUD",I102:I196)</f>
        <v>0</v>
      </c>
      <c r="J211" s="1354"/>
      <c r="K211" s="1354"/>
      <c r="L211" s="1355"/>
      <c r="M211" s="1353">
        <f>SUMIF(H11:H196,"KVJUD",M11:M196)</f>
        <v>7000</v>
      </c>
      <c r="N211" s="1354"/>
      <c r="O211" s="1354"/>
      <c r="P211" s="1355"/>
      <c r="Q211" s="1353">
        <f>SUMIF(H11:H196,"KVJUD",Q11:Q196)</f>
        <v>7000</v>
      </c>
      <c r="R211" s="1354"/>
      <c r="S211" s="1354"/>
      <c r="T211" s="1355"/>
      <c r="U211" s="645"/>
      <c r="V211" s="646"/>
    </row>
    <row r="212" spans="1:22" ht="15" customHeight="1">
      <c r="A212" s="1350" t="s">
        <v>281</v>
      </c>
      <c r="B212" s="1351"/>
      <c r="C212" s="1351"/>
      <c r="D212" s="1351"/>
      <c r="E212" s="1351"/>
      <c r="F212" s="1351"/>
      <c r="G212" s="1351"/>
      <c r="H212" s="1352"/>
      <c r="I212" s="1353">
        <f>SUMIF(H102:H196,"Kt",I102:I196)</f>
        <v>0</v>
      </c>
      <c r="J212" s="1354"/>
      <c r="K212" s="1354"/>
      <c r="L212" s="1355"/>
      <c r="M212" s="1353">
        <f>SUMIF(H11:H196,"Kt",M11:M196)</f>
        <v>3626.5</v>
      </c>
      <c r="N212" s="1354"/>
      <c r="O212" s="1354"/>
      <c r="P212" s="1355"/>
      <c r="Q212" s="1353">
        <f>SUMIF(H11:H196,"Kt",Q11:Q196)</f>
        <v>3626.5</v>
      </c>
      <c r="R212" s="1354"/>
      <c r="S212" s="1354"/>
      <c r="T212" s="1355"/>
      <c r="U212" s="645"/>
      <c r="V212" s="646"/>
    </row>
    <row r="213" spans="1:22" ht="15" customHeight="1" thickBot="1">
      <c r="A213" s="1374" t="s">
        <v>35</v>
      </c>
      <c r="B213" s="1375"/>
      <c r="C213" s="1375"/>
      <c r="D213" s="1375"/>
      <c r="E213" s="1375"/>
      <c r="F213" s="1375"/>
      <c r="G213" s="1375"/>
      <c r="H213" s="1376"/>
      <c r="I213" s="1377" t="e">
        <f>I207+I202</f>
        <v>#REF!</v>
      </c>
      <c r="J213" s="1378"/>
      <c r="K213" s="1378"/>
      <c r="L213" s="1379"/>
      <c r="M213" s="1377">
        <f>M207+M202</f>
        <v>78413.6</v>
      </c>
      <c r="N213" s="1378"/>
      <c r="O213" s="1378"/>
      <c r="P213" s="1379"/>
      <c r="Q213" s="1377">
        <f>Q207+Q202</f>
        <v>64694.899999999994</v>
      </c>
      <c r="R213" s="1378"/>
      <c r="S213" s="1378"/>
      <c r="T213" s="1379"/>
      <c r="U213" s="311"/>
      <c r="V213" s="312"/>
    </row>
  </sheetData>
  <sheetProtection/>
  <mergeCells count="429">
    <mergeCell ref="G26:G29"/>
    <mergeCell ref="A26:A29"/>
    <mergeCell ref="B26:B29"/>
    <mergeCell ref="C26:C29"/>
    <mergeCell ref="D26:D29"/>
    <mergeCell ref="E26:E29"/>
    <mergeCell ref="F26:F29"/>
    <mergeCell ref="A212:H212"/>
    <mergeCell ref="I212:L212"/>
    <mergeCell ref="A115:A120"/>
    <mergeCell ref="B115:B120"/>
    <mergeCell ref="C115:C120"/>
    <mergeCell ref="D115:D120"/>
    <mergeCell ref="F115:F120"/>
    <mergeCell ref="G115:G120"/>
    <mergeCell ref="E117:E120"/>
    <mergeCell ref="A211:H211"/>
    <mergeCell ref="I211:L211"/>
    <mergeCell ref="M211:P211"/>
    <mergeCell ref="Q211:T211"/>
    <mergeCell ref="A213:H213"/>
    <mergeCell ref="I213:L213"/>
    <mergeCell ref="M213:P213"/>
    <mergeCell ref="Q213:T213"/>
    <mergeCell ref="M212:P212"/>
    <mergeCell ref="Q212:T212"/>
    <mergeCell ref="A209:H209"/>
    <mergeCell ref="I209:L209"/>
    <mergeCell ref="M209:P209"/>
    <mergeCell ref="Q209:T209"/>
    <mergeCell ref="A210:H210"/>
    <mergeCell ref="I210:L210"/>
    <mergeCell ref="M210:P210"/>
    <mergeCell ref="Q210:T210"/>
    <mergeCell ref="A208:H208"/>
    <mergeCell ref="I208:L208"/>
    <mergeCell ref="M208:P208"/>
    <mergeCell ref="Q208:T208"/>
    <mergeCell ref="A207:H207"/>
    <mergeCell ref="I207:L207"/>
    <mergeCell ref="M207:P207"/>
    <mergeCell ref="Q207:T207"/>
    <mergeCell ref="A206:H206"/>
    <mergeCell ref="I206:L206"/>
    <mergeCell ref="M206:P206"/>
    <mergeCell ref="Q206:T206"/>
    <mergeCell ref="A205:H205"/>
    <mergeCell ref="I205:L205"/>
    <mergeCell ref="M205:P205"/>
    <mergeCell ref="Q205:T205"/>
    <mergeCell ref="A204:H204"/>
    <mergeCell ref="I204:L204"/>
    <mergeCell ref="M204:P204"/>
    <mergeCell ref="Q204:T204"/>
    <mergeCell ref="A203:H203"/>
    <mergeCell ref="I203:L203"/>
    <mergeCell ref="M203:P203"/>
    <mergeCell ref="Q203:T203"/>
    <mergeCell ref="A202:H202"/>
    <mergeCell ref="I202:L202"/>
    <mergeCell ref="M202:P202"/>
    <mergeCell ref="Q202:T202"/>
    <mergeCell ref="A201:H201"/>
    <mergeCell ref="I201:L201"/>
    <mergeCell ref="M201:P201"/>
    <mergeCell ref="Q201:T201"/>
    <mergeCell ref="A199:T199"/>
    <mergeCell ref="Q200:T200"/>
    <mergeCell ref="A192:A194"/>
    <mergeCell ref="B192:B194"/>
    <mergeCell ref="C192:C194"/>
    <mergeCell ref="D192:D194"/>
    <mergeCell ref="G192:G194"/>
    <mergeCell ref="C195:H195"/>
    <mergeCell ref="B196:H196"/>
    <mergeCell ref="B197:H197"/>
    <mergeCell ref="G186:G188"/>
    <mergeCell ref="A189:A191"/>
    <mergeCell ref="B189:B191"/>
    <mergeCell ref="C189:C191"/>
    <mergeCell ref="D189:D191"/>
    <mergeCell ref="E189:E191"/>
    <mergeCell ref="F189:F191"/>
    <mergeCell ref="G189:G191"/>
    <mergeCell ref="E186:E188"/>
    <mergeCell ref="F186:F188"/>
    <mergeCell ref="E192:E194"/>
    <mergeCell ref="F192:F194"/>
    <mergeCell ref="A186:A188"/>
    <mergeCell ref="B186:B188"/>
    <mergeCell ref="C186:C188"/>
    <mergeCell ref="D186:D188"/>
    <mergeCell ref="C181:H181"/>
    <mergeCell ref="A183:A185"/>
    <mergeCell ref="B183:B185"/>
    <mergeCell ref="C183:C185"/>
    <mergeCell ref="D183:D185"/>
    <mergeCell ref="E183:E185"/>
    <mergeCell ref="F183:F185"/>
    <mergeCell ref="G183:G185"/>
    <mergeCell ref="G174:G177"/>
    <mergeCell ref="A178:A180"/>
    <mergeCell ref="B178:B180"/>
    <mergeCell ref="C178:C180"/>
    <mergeCell ref="D178:D180"/>
    <mergeCell ref="F178:F180"/>
    <mergeCell ref="G178:G180"/>
    <mergeCell ref="E179:E180"/>
    <mergeCell ref="A174:A177"/>
    <mergeCell ref="B174:B177"/>
    <mergeCell ref="A171:A173"/>
    <mergeCell ref="B171:B173"/>
    <mergeCell ref="C171:C173"/>
    <mergeCell ref="D171:D173"/>
    <mergeCell ref="E167:E170"/>
    <mergeCell ref="F167:F170"/>
    <mergeCell ref="C174:C177"/>
    <mergeCell ref="D174:D177"/>
    <mergeCell ref="E174:E177"/>
    <mergeCell ref="F174:F177"/>
    <mergeCell ref="E171:E173"/>
    <mergeCell ref="A167:A170"/>
    <mergeCell ref="B167:B170"/>
    <mergeCell ref="C167:C170"/>
    <mergeCell ref="D167:D170"/>
    <mergeCell ref="F164:F166"/>
    <mergeCell ref="G164:G166"/>
    <mergeCell ref="F171:F173"/>
    <mergeCell ref="G171:G173"/>
    <mergeCell ref="G167:G170"/>
    <mergeCell ref="A164:A166"/>
    <mergeCell ref="B164:B166"/>
    <mergeCell ref="C164:C166"/>
    <mergeCell ref="D164:D166"/>
    <mergeCell ref="G158:G160"/>
    <mergeCell ref="A161:A163"/>
    <mergeCell ref="B161:B163"/>
    <mergeCell ref="C161:C163"/>
    <mergeCell ref="D161:D163"/>
    <mergeCell ref="F161:F163"/>
    <mergeCell ref="G161:G163"/>
    <mergeCell ref="C158:C160"/>
    <mergeCell ref="D158:D160"/>
    <mergeCell ref="E158:E160"/>
    <mergeCell ref="F158:F160"/>
    <mergeCell ref="C153:H153"/>
    <mergeCell ref="C154:Q154"/>
    <mergeCell ref="A155:A157"/>
    <mergeCell ref="B155:B157"/>
    <mergeCell ref="C155:C157"/>
    <mergeCell ref="D155:D157"/>
    <mergeCell ref="E155:E157"/>
    <mergeCell ref="F155:F157"/>
    <mergeCell ref="G155:G157"/>
    <mergeCell ref="A148:H148"/>
    <mergeCell ref="A149:A152"/>
    <mergeCell ref="B149:B152"/>
    <mergeCell ref="C149:C152"/>
    <mergeCell ref="D149:D152"/>
    <mergeCell ref="E149:E152"/>
    <mergeCell ref="F149:F152"/>
    <mergeCell ref="G149:G152"/>
    <mergeCell ref="E142:E144"/>
    <mergeCell ref="F142:F144"/>
    <mergeCell ref="G142:G144"/>
    <mergeCell ref="A145:A147"/>
    <mergeCell ref="B145:B147"/>
    <mergeCell ref="C145:C147"/>
    <mergeCell ref="D145:D147"/>
    <mergeCell ref="E145:E147"/>
    <mergeCell ref="F145:F147"/>
    <mergeCell ref="G145:G147"/>
    <mergeCell ref="A142:A144"/>
    <mergeCell ref="B142:B144"/>
    <mergeCell ref="C142:C144"/>
    <mergeCell ref="D142:D144"/>
    <mergeCell ref="E135:E138"/>
    <mergeCell ref="G135:G138"/>
    <mergeCell ref="F136:F138"/>
    <mergeCell ref="C139:C141"/>
    <mergeCell ref="D139:D141"/>
    <mergeCell ref="E139:E141"/>
    <mergeCell ref="F139:F141"/>
    <mergeCell ref="G139:G141"/>
    <mergeCell ref="A135:A138"/>
    <mergeCell ref="B135:B138"/>
    <mergeCell ref="C135:C138"/>
    <mergeCell ref="D135:D138"/>
    <mergeCell ref="C131:V131"/>
    <mergeCell ref="A132:A134"/>
    <mergeCell ref="B132:B134"/>
    <mergeCell ref="C132:C134"/>
    <mergeCell ref="D132:D134"/>
    <mergeCell ref="E132:E134"/>
    <mergeCell ref="F132:F134"/>
    <mergeCell ref="G132:G134"/>
    <mergeCell ref="F127:F129"/>
    <mergeCell ref="G127:G129"/>
    <mergeCell ref="E128:E129"/>
    <mergeCell ref="C130:H130"/>
    <mergeCell ref="A127:A129"/>
    <mergeCell ref="B127:B129"/>
    <mergeCell ref="C127:C129"/>
    <mergeCell ref="D127:D129"/>
    <mergeCell ref="C121:H121"/>
    <mergeCell ref="C122:V122"/>
    <mergeCell ref="A123:A126"/>
    <mergeCell ref="B123:B126"/>
    <mergeCell ref="C123:C126"/>
    <mergeCell ref="D123:D126"/>
    <mergeCell ref="F123:F126"/>
    <mergeCell ref="G123:G126"/>
    <mergeCell ref="E124:E126"/>
    <mergeCell ref="G107:G111"/>
    <mergeCell ref="E109:E111"/>
    <mergeCell ref="A112:A114"/>
    <mergeCell ref="B112:B114"/>
    <mergeCell ref="C112:C114"/>
    <mergeCell ref="D112:D114"/>
    <mergeCell ref="E112:E114"/>
    <mergeCell ref="F112:F114"/>
    <mergeCell ref="G112:G114"/>
    <mergeCell ref="A107:A111"/>
    <mergeCell ref="F107:F111"/>
    <mergeCell ref="A102:A106"/>
    <mergeCell ref="B102:B106"/>
    <mergeCell ref="C102:C106"/>
    <mergeCell ref="D102:D106"/>
    <mergeCell ref="F102:F106"/>
    <mergeCell ref="B107:B111"/>
    <mergeCell ref="C107:C111"/>
    <mergeCell ref="D107:D111"/>
    <mergeCell ref="E107:E108"/>
    <mergeCell ref="A98:A101"/>
    <mergeCell ref="B98:B101"/>
    <mergeCell ref="C98:C101"/>
    <mergeCell ref="D98:D101"/>
    <mergeCell ref="E95:E97"/>
    <mergeCell ref="F95:F97"/>
    <mergeCell ref="G102:G106"/>
    <mergeCell ref="E103:E106"/>
    <mergeCell ref="G95:G97"/>
    <mergeCell ref="F98:F101"/>
    <mergeCell ref="G98:G101"/>
    <mergeCell ref="E99:E101"/>
    <mergeCell ref="D93:D94"/>
    <mergeCell ref="A95:A97"/>
    <mergeCell ref="B95:B97"/>
    <mergeCell ref="C95:C97"/>
    <mergeCell ref="D95:D97"/>
    <mergeCell ref="F84:F88"/>
    <mergeCell ref="G84:G88"/>
    <mergeCell ref="E86:E88"/>
    <mergeCell ref="A89:A94"/>
    <mergeCell ref="B89:B94"/>
    <mergeCell ref="C89:C94"/>
    <mergeCell ref="D89:D90"/>
    <mergeCell ref="F89:F94"/>
    <mergeCell ref="G89:G94"/>
    <mergeCell ref="E91:E94"/>
    <mergeCell ref="A84:A88"/>
    <mergeCell ref="B84:B88"/>
    <mergeCell ref="C84:C88"/>
    <mergeCell ref="D84:D88"/>
    <mergeCell ref="A80:H80"/>
    <mergeCell ref="A81:A83"/>
    <mergeCell ref="B81:B83"/>
    <mergeCell ref="C81:C83"/>
    <mergeCell ref="D81:D83"/>
    <mergeCell ref="E81:E83"/>
    <mergeCell ref="F81:F83"/>
    <mergeCell ref="G81:G83"/>
    <mergeCell ref="F74:F76"/>
    <mergeCell ref="G74:G76"/>
    <mergeCell ref="A77:A79"/>
    <mergeCell ref="B77:B79"/>
    <mergeCell ref="C77:C79"/>
    <mergeCell ref="D77:D79"/>
    <mergeCell ref="F77:F79"/>
    <mergeCell ref="G77:G79"/>
    <mergeCell ref="E78:E79"/>
    <mergeCell ref="A74:A76"/>
    <mergeCell ref="B74:B76"/>
    <mergeCell ref="C74:C76"/>
    <mergeCell ref="D74:D76"/>
    <mergeCell ref="F70:F72"/>
    <mergeCell ref="G70:G72"/>
    <mergeCell ref="E71:E72"/>
    <mergeCell ref="A73:H73"/>
    <mergeCell ref="A70:A72"/>
    <mergeCell ref="B70:B72"/>
    <mergeCell ref="C70:C72"/>
    <mergeCell ref="D70:D72"/>
    <mergeCell ref="F64:F66"/>
    <mergeCell ref="G64:G66"/>
    <mergeCell ref="E65:E66"/>
    <mergeCell ref="A67:A69"/>
    <mergeCell ref="B67:B69"/>
    <mergeCell ref="C67:C69"/>
    <mergeCell ref="D67:D69"/>
    <mergeCell ref="F67:F69"/>
    <mergeCell ref="G67:G69"/>
    <mergeCell ref="E68:E69"/>
    <mergeCell ref="A64:A66"/>
    <mergeCell ref="B64:B66"/>
    <mergeCell ref="C64:C66"/>
    <mergeCell ref="D64:D66"/>
    <mergeCell ref="F55:F59"/>
    <mergeCell ref="G55:G59"/>
    <mergeCell ref="E57:E59"/>
    <mergeCell ref="A60:A63"/>
    <mergeCell ref="B60:B63"/>
    <mergeCell ref="C60:C63"/>
    <mergeCell ref="D60:D63"/>
    <mergeCell ref="F60:F63"/>
    <mergeCell ref="G60:G63"/>
    <mergeCell ref="E61:E63"/>
    <mergeCell ref="A55:A59"/>
    <mergeCell ref="B55:B59"/>
    <mergeCell ref="C55:C59"/>
    <mergeCell ref="D55:D59"/>
    <mergeCell ref="A50:H50"/>
    <mergeCell ref="A51:A54"/>
    <mergeCell ref="B51:B54"/>
    <mergeCell ref="C51:C54"/>
    <mergeCell ref="D51:D54"/>
    <mergeCell ref="E51:E54"/>
    <mergeCell ref="F51:F54"/>
    <mergeCell ref="G51:G54"/>
    <mergeCell ref="E47:E49"/>
    <mergeCell ref="F47:F49"/>
    <mergeCell ref="G47:G49"/>
    <mergeCell ref="A44:A46"/>
    <mergeCell ref="B44:B46"/>
    <mergeCell ref="A47:A49"/>
    <mergeCell ref="B47:B49"/>
    <mergeCell ref="C47:C49"/>
    <mergeCell ref="D47:D49"/>
    <mergeCell ref="E37:E38"/>
    <mergeCell ref="G41:G43"/>
    <mergeCell ref="E42:E43"/>
    <mergeCell ref="C44:C46"/>
    <mergeCell ref="D44:D46"/>
    <mergeCell ref="E44:E46"/>
    <mergeCell ref="F44:F46"/>
    <mergeCell ref="G37:G40"/>
    <mergeCell ref="E39:E40"/>
    <mergeCell ref="G44:G46"/>
    <mergeCell ref="F37:F40"/>
    <mergeCell ref="A41:A43"/>
    <mergeCell ref="B41:B43"/>
    <mergeCell ref="C41:C43"/>
    <mergeCell ref="D41:D43"/>
    <mergeCell ref="F41:F43"/>
    <mergeCell ref="A37:A40"/>
    <mergeCell ref="B37:B40"/>
    <mergeCell ref="C37:C40"/>
    <mergeCell ref="D37:D40"/>
    <mergeCell ref="G34:G36"/>
    <mergeCell ref="E35:E36"/>
    <mergeCell ref="A34:A36"/>
    <mergeCell ref="B34:B36"/>
    <mergeCell ref="C34:C36"/>
    <mergeCell ref="D34:D36"/>
    <mergeCell ref="F34:F36"/>
    <mergeCell ref="G31:G33"/>
    <mergeCell ref="B23:B25"/>
    <mergeCell ref="C23:C25"/>
    <mergeCell ref="D23:D25"/>
    <mergeCell ref="E23:E25"/>
    <mergeCell ref="F23:F25"/>
    <mergeCell ref="A30:H30"/>
    <mergeCell ref="A31:A33"/>
    <mergeCell ref="B31:B33"/>
    <mergeCell ref="C31:C33"/>
    <mergeCell ref="A16:A19"/>
    <mergeCell ref="D31:D33"/>
    <mergeCell ref="E31:E33"/>
    <mergeCell ref="F31:F33"/>
    <mergeCell ref="G23:G25"/>
    <mergeCell ref="A20:A22"/>
    <mergeCell ref="B20:B22"/>
    <mergeCell ref="C20:C22"/>
    <mergeCell ref="D20:D22"/>
    <mergeCell ref="F20:F22"/>
    <mergeCell ref="G20:G22"/>
    <mergeCell ref="E21:E22"/>
    <mergeCell ref="A23:A25"/>
    <mergeCell ref="F16:F19"/>
    <mergeCell ref="B9:V9"/>
    <mergeCell ref="C10:V10"/>
    <mergeCell ref="G16:G19"/>
    <mergeCell ref="B16:B19"/>
    <mergeCell ref="C16:C19"/>
    <mergeCell ref="D16:D19"/>
    <mergeCell ref="E16:E19"/>
    <mergeCell ref="A7:V7"/>
    <mergeCell ref="A8:V8"/>
    <mergeCell ref="A11:A15"/>
    <mergeCell ref="B11:B15"/>
    <mergeCell ref="C11:C15"/>
    <mergeCell ref="D11:D15"/>
    <mergeCell ref="F11:F15"/>
    <mergeCell ref="G11:G15"/>
    <mergeCell ref="E13:E15"/>
    <mergeCell ref="V4:V6"/>
    <mergeCell ref="I5:I6"/>
    <mergeCell ref="J5:K5"/>
    <mergeCell ref="L5:L6"/>
    <mergeCell ref="M5:M6"/>
    <mergeCell ref="N5:O5"/>
    <mergeCell ref="P5:P6"/>
    <mergeCell ref="Q5:Q6"/>
    <mergeCell ref="R5:S5"/>
    <mergeCell ref="T5:T6"/>
    <mergeCell ref="I4:L4"/>
    <mergeCell ref="M4:P4"/>
    <mergeCell ref="Q4:T4"/>
    <mergeCell ref="U4:U6"/>
    <mergeCell ref="A1:V1"/>
    <mergeCell ref="A2:V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" right="0" top="0" bottom="0" header="0.31496062992125984" footer="0.31496062992125984"/>
  <pageSetup horizontalDpi="600" verticalDpi="600" orientation="landscape" paperSize="9" scale="80" r:id="rId1"/>
  <headerFooter alignWithMargins="0">
    <oddFooter>&amp;C&amp;A</oddFooter>
  </headerFooter>
  <rowBreaks count="4" manualBreakCount="4">
    <brk id="36" max="255" man="1"/>
    <brk id="80" max="255" man="1"/>
    <brk id="121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L.Demidova</cp:lastModifiedBy>
  <cp:lastPrinted>2012-08-09T07:15:06Z</cp:lastPrinted>
  <dcterms:created xsi:type="dcterms:W3CDTF">2004-04-19T12:01:47Z</dcterms:created>
  <dcterms:modified xsi:type="dcterms:W3CDTF">2012-08-16T11:33:40Z</dcterms:modified>
  <cp:category/>
  <cp:version/>
  <cp:contentType/>
  <cp:contentStatus/>
</cp:coreProperties>
</file>